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Op_Formula_P_MS" sheetId="6" r:id="rId6"/>
    <sheet name="Keys_SSC" sheetId="7" r:id="rId7"/>
    <sheet name="Keys_BO" sheetId="8" r:id="rId8"/>
    <sheet name="Assumptions_SC" sheetId="9" r:id="rId9"/>
    <sheet name="TS_Ass_SSC" sheetId="10" r:id="rId10"/>
    <sheet name="TS_BA" sheetId="11" r:id="rId11"/>
    <sheet name="Fcast_Ass_SSC" sheetId="12" r:id="rId12"/>
    <sheet name="Fcast_TA" sheetId="13" r:id="rId13"/>
    <sheet name="Base_OP_SC" sheetId="14" r:id="rId14"/>
    <sheet name="Fcast_OP_SSC" sheetId="15" r:id="rId15"/>
    <sheet name="Fcast_TO" sheetId="16" r:id="rId16"/>
    <sheet name="FS_OP_SSC" sheetId="17" r:id="rId17"/>
    <sheet name="IS_TO" sheetId="18" r:id="rId18"/>
    <sheet name="BS_TO" sheetId="19" r:id="rId19"/>
    <sheet name="CFS_TO" sheetId="20" r:id="rId20"/>
    <sheet name="Dashboards_SSC" sheetId="21" r:id="rId21"/>
    <sheet name="BS_Sum_P_MS" sheetId="22" r:id="rId22"/>
    <sheet name="Appendices_SC" sheetId="23" r:id="rId23"/>
    <sheet name="Checks_SSC" sheetId="24" r:id="rId24"/>
    <sheet name="Checks_BO" sheetId="25" r:id="rId25"/>
    <sheet name="LU_SSC" sheetId="26" r:id="rId26"/>
    <sheet name="TS_LU" sheetId="27" r:id="rId27"/>
    <sheet name="Capital_LU" sheetId="28" r:id="rId28"/>
    <sheet name="Dashboards_LU" sheetId="29" r:id="rId29"/>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'Fcast_TO'!$I$18</definedName>
    <definedName name="BPM_TC_2" hidden="1">'Fcast_TO'!$K$35</definedName>
    <definedName name="BPM_TC_3" hidden="1">'Fcast_TO'!$H$26</definedName>
    <definedName name="BPM_TC_4" hidden="1">'Op_Formula_P_MS'!$G$12</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'Op_Formula_P_MS'!$A$1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2">'Appendices_SC'!$B$1:$N$30</definedName>
    <definedName name="_xlnm.Print_Area" localSheetId="8">'Assumptions_SC'!$B$1:$N$30</definedName>
    <definedName name="_xlnm.Print_Area" localSheetId="13">'Base_OP_SC'!$B$1:$N$30</definedName>
    <definedName name="_xlnm.Print_Area" localSheetId="21">'BS_Sum_P_MS'!$B$1:$AN$64</definedName>
    <definedName name="_xlnm.Print_Area" localSheetId="18">'BS_TO'!$B$1:$Q$76</definedName>
    <definedName name="_xlnm.Print_Area" localSheetId="27">'Capital_LU'!$B$1:$G$13</definedName>
    <definedName name="_xlnm.Print_Area" localSheetId="19">'CFS_TO'!$B$1:$Q$117</definedName>
    <definedName name="_xlnm.Print_Area" localSheetId="24">'Checks_BO'!$B$1:$M$65</definedName>
    <definedName name="_xlnm.Print_Area" localSheetId="23">'Checks_SSC'!$B$1:$N$30</definedName>
    <definedName name="_xlnm.Print_Area" localSheetId="1">'Contents'!$B$1:$Q$57</definedName>
    <definedName name="_xlnm.Print_Area" localSheetId="0">'Cover'!$B$1:$N$32</definedName>
    <definedName name="_xlnm.Print_Area" localSheetId="28">'Dashboards_LU'!$B$1:$G$19</definedName>
    <definedName name="_xlnm.Print_Area" localSheetId="20">'Dashboards_SSC'!$B$1:$N$30</definedName>
    <definedName name="_xlnm.Print_Area" localSheetId="11">'Fcast_Ass_SSC'!$B$1:$N$30</definedName>
    <definedName name="_xlnm.Print_Area" localSheetId="14">'Fcast_OP_SSC'!$B$1:$N$30</definedName>
    <definedName name="_xlnm.Print_Area" localSheetId="12">'Fcast_TA'!$B$1:$Q$133</definedName>
    <definedName name="_xlnm.Print_Area" localSheetId="15">'Fcast_TO'!$B$1:$Q$207</definedName>
    <definedName name="_xlnm.Print_Area" localSheetId="16">'FS_OP_SSC'!$B$1:$N$30</definedName>
    <definedName name="_xlnm.Print_Area" localSheetId="17">'IS_TO'!$B$1:$Q$46</definedName>
    <definedName name="_xlnm.Print_Area" localSheetId="7">'Keys_BO'!$B$1:$N$137</definedName>
    <definedName name="_xlnm.Print_Area" localSheetId="6">'Keys_SSC'!$B$1:$N$30</definedName>
    <definedName name="_xlnm.Print_Area" localSheetId="25">'LU_SSC'!$B$1:$N$30</definedName>
    <definedName name="_xlnm.Print_Area" localSheetId="4">'Notes_BO'!$B$1:$M$44</definedName>
    <definedName name="_xlnm.Print_Area" localSheetId="3">'Notes_SSC'!$B$1:$N$30</definedName>
    <definedName name="_xlnm.Print_Area" localSheetId="5">'Op_Formula_P_MS'!$B$1:$P$48</definedName>
    <definedName name="_xlnm.Print_Area" localSheetId="2">'Overview_SC'!$B$1:$N$30</definedName>
    <definedName name="_xlnm.Print_Area" localSheetId="9">'TS_Ass_SSC'!$B$1:$N$30</definedName>
    <definedName name="_xlnm.Print_Area" localSheetId="10">'TS_BA'!$B$1:$N$66</definedName>
    <definedName name="_xlnm.Print_Area" localSheetId="26">'TS_LU'!$B$1:$G$105</definedName>
    <definedName name="_xlnm.Print_Titles" localSheetId="18">'BS_TO'!$1:$15</definedName>
    <definedName name="_xlnm.Print_Titles" localSheetId="19">'CFS_TO'!$1:$15</definedName>
    <definedName name="_xlnm.Print_Titles" localSheetId="24">'Checks_BO'!$1:$6</definedName>
    <definedName name="_xlnm.Print_Titles" localSheetId="1">'Contents'!$1:$7</definedName>
    <definedName name="_xlnm.Print_Titles" localSheetId="12">'Fcast_TA'!$1:$15</definedName>
    <definedName name="_xlnm.Print_Titles" localSheetId="15">'Fcast_TO'!$1:$15</definedName>
    <definedName name="_xlnm.Print_Titles" localSheetId="17">'IS_TO'!$1:$15</definedName>
    <definedName name="_xlnm.Print_Titles" localSheetId="7">'Keys_BO'!$1:$6</definedName>
    <definedName name="_xlnm.Print_Titles" localSheetId="4">'Notes_BO'!$1:$6</definedName>
    <definedName name="_xlnm.Print_Titles" localSheetId="10">'TS_BA'!$1:$6</definedName>
    <definedName name="_xlnm.Print_Titles" localSheetId="2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2" hidden="1">"|B|SC|B|"</definedName>
    <definedName name="TBXBST" localSheetId="8" hidden="1">"|B|SC|B|"</definedName>
    <definedName name="TBXBST" localSheetId="13" hidden="1">"|B|SC|B|"</definedName>
    <definedName name="TBXBST" localSheetId="21" hidden="1">"|B|MS|B||P|"</definedName>
    <definedName name="TBXBST" localSheetId="18" hidden="1">"|B|TO|B||T|All|T||N|1|N||FTSCN|10|FTSCN||TSP|10|TSP|"</definedName>
    <definedName name="TBXBST" localSheetId="27" hidden="1">"|B|LU|B|"</definedName>
    <definedName name="TBXBST" localSheetId="19" hidden="1">"|B|TO|B||T|All|T||N|1|N||FTSCN|10|FTSCN||TSP|10|TSP|"</definedName>
    <definedName name="TBXBST" localSheetId="24" hidden="1">"|B|BO|B|"</definedName>
    <definedName name="TBXBST" localSheetId="23" hidden="1">"|B|SSC|B|"</definedName>
    <definedName name="TBXBST" localSheetId="1" hidden="1">"|B|Contents|B|"</definedName>
    <definedName name="TBXBST" localSheetId="0" hidden="1">"|B|Cover|B|"</definedName>
    <definedName name="TBXBST" localSheetId="28" hidden="1">"|B|LU|B|"</definedName>
    <definedName name="TBXBST" localSheetId="20" hidden="1">"|B|SSC|B|"</definedName>
    <definedName name="TBXBST" localSheetId="11" hidden="1">"|B|SSC|B|"</definedName>
    <definedName name="TBXBST" localSheetId="14" hidden="1">"|B|SSC|B|"</definedName>
    <definedName name="TBXBST" localSheetId="12" hidden="1">"|B|TA|B||T|All|T||N|1|N||FTSCN|10|FTSCN||TSP|10|TSP|"</definedName>
    <definedName name="TBXBST" localSheetId="15" hidden="1">"|B|TO|B||T|All|T||N|1|N||FTSCN|10|FTSCN||TSP|10|TSP|"</definedName>
    <definedName name="TBXBST" localSheetId="16" hidden="1">"|B|SSC|B|"</definedName>
    <definedName name="TBXBST" localSheetId="17" hidden="1">"|B|TO|B||T|All|T||N|1|N||FTSCN|10|FTSCN||TSP|10|TSP|"</definedName>
    <definedName name="TBXBST" localSheetId="7" hidden="1">"|B|BO|B|"</definedName>
    <definedName name="TBXBST" localSheetId="6" hidden="1">"|B|SSC|B|"</definedName>
    <definedName name="TBXBST" localSheetId="25" hidden="1">"|B|SSC|B|"</definedName>
    <definedName name="TBXBST" localSheetId="4" hidden="1">"|B|BO|B|"</definedName>
    <definedName name="TBXBST" localSheetId="3" hidden="1">"|B|SSC|B|"</definedName>
    <definedName name="TBXBST" localSheetId="5" hidden="1">"|B|MS|B||P|"</definedName>
    <definedName name="TBXBST" localSheetId="2" hidden="1">"|B|SC|B|"</definedName>
    <definedName name="TBXBST" localSheetId="9" hidden="1">"|B|SSC|B|"</definedName>
    <definedName name="TBXBST" localSheetId="10" hidden="1">"|B|BA|B|"</definedName>
    <definedName name="TBXBST" localSheetId="26"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6.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5" authorId="1">
      <text>
        <r>
          <rPr>
            <b/>
            <sz val="9"/>
            <rFont val="Tahoma"/>
            <family val="2"/>
          </rPr>
          <t>Best Practice Modelling:</t>
        </r>
        <r>
          <rPr>
            <sz val="9"/>
            <rFont val="Tahoma"/>
            <family val="2"/>
          </rPr>
          <t xml:space="preserve">
Mixed cell content does NOT contain assumptions (BPMS 8-2).</t>
        </r>
      </text>
    </comment>
    <comment ref="I18" authorId="1">
      <text>
        <r>
          <rPr>
            <b/>
            <sz val="9"/>
            <rFont val="Tahoma"/>
            <family val="2"/>
          </rPr>
          <t>Best Practice Modelling:</t>
        </r>
        <r>
          <rPr>
            <sz val="9"/>
            <rFont val="Tahoma"/>
            <family val="2"/>
          </rPr>
          <t xml:space="preserve">
Consistent formula across rows and down columns (BPMS 8-1).</t>
        </r>
      </text>
    </comment>
    <comment ref="H26" authorId="1">
      <text>
        <r>
          <rPr>
            <b/>
            <sz val="9"/>
            <rFont val="Tahoma"/>
            <family val="2"/>
          </rPr>
          <t>Best Practice Modelling:</t>
        </r>
        <r>
          <rPr>
            <sz val="9"/>
            <rFont val="Tahoma"/>
            <family val="2"/>
          </rPr>
          <t xml:space="preserve">
No circular references (BPMS 8-3).</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9.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6.xml><?xml version="1.0" encoding="utf-8"?>
<comments xmlns="http://schemas.openxmlformats.org/spreadsheetml/2006/main">
  <authors>
    <author>Best Practice Modelling</author>
  </authors>
  <commentList>
    <comment ref="G12" authorId="0">
      <text>
        <r>
          <rPr>
            <b/>
            <sz val="9"/>
            <rFont val="Tahoma"/>
            <family val="2"/>
          </rPr>
          <t>Best Practice Modelling:</t>
        </r>
        <r>
          <rPr>
            <sz val="9"/>
            <rFont val="Tahoma"/>
            <family val="2"/>
          </rPr>
          <t xml:space="preserve">
Formula schematic used to explain complex formulae (BPMC 7-3).</t>
        </r>
      </text>
    </comment>
  </commentList>
</comments>
</file>

<file path=xl/sharedStrings.xml><?xml version="1.0" encoding="utf-8"?>
<sst xmlns="http://schemas.openxmlformats.org/spreadsheetml/2006/main" count="990" uniqueCount="598">
  <si>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</si>
  <si>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</si>
  <si>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</si>
  <si>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</si>
  <si>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</si>
  <si>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</si>
  <si>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</si>
  <si>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</si>
  <si>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</si>
  <si>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</si>
  <si>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</si>
  <si>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</si>
  <si>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</si>
  <si>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</si>
  <si>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</si>
  <si>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</si>
  <si>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</si>
  <si>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</si>
  <si>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</si>
  <si>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</si>
  <si>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</si>
  <si>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</si>
  <si>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</si>
  <si>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</si>
  <si>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</si>
  <si>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</si>
  <si>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</si>
  <si>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</si>
  <si>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</si>
  <si>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</si>
  <si>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</si>
  <si>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</si>
  <si>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</si>
  <si>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</si>
  <si>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</si>
  <si>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</si>
  <si>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</si>
  <si>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</si>
  <si>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</si>
  <si>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</si>
  <si>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</si>
  <si>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</si>
  <si>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</si>
  <si>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</si>
  <si>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</si>
  <si>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</si>
  <si>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</si>
  <si>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</si>
  <si>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</si>
  <si>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</si>
  <si>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</si>
  <si>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</si>
  <si>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</si>
  <si>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</si>
  <si>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</si>
  <si>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</si>
  <si>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</si>
  <si>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</si>
  <si>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</si>
  <si>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</si>
  <si>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</si>
  <si>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</si>
  <si>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</si>
  <si>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</si>
  <si>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</si>
  <si>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</si>
  <si>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</si>
  <si>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</si>
  <si>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</si>
  <si>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</si>
  <si>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</si>
  <si>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</si>
  <si>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</si>
  <si>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</si>
  <si>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</si>
  <si>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</si>
  <si>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</si>
  <si>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</si>
  <si>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</si>
  <si>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</si>
  <si>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</si>
  <si>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</si>
  <si>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</si>
  <si>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</si>
  <si>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</si>
  <si>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</si>
  <si>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</si>
  <si>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</si>
  <si>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</si>
  <si>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</si>
  <si>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</si>
  <si>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</si>
  <si>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</si>
  <si>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</si>
  <si>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</si>
  <si>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</si>
  <si>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</si>
  <si>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</si>
  <si>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</si>
  <si>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</si>
  <si>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</si>
  <si>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</si>
  <si>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</si>
  <si>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</si>
  <si>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</si>
  <si>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</si>
  <si>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</si>
  <si>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</si>
  <si>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</si>
  <si>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</si>
  <si>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</si>
  <si>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</si>
  <si>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</si>
  <si>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</si>
  <si>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</si>
  <si>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</si>
  <si>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</si>
  <si>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</si>
  <si>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</si>
  <si>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</si>
  <si>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</si>
  <si>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</si>
  <si>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</si>
  <si>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</si>
  <si>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</si>
  <si>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</si>
  <si>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</si>
  <si>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</si>
  <si>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</si>
  <si>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</si>
  <si>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</si>
  <si>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</si>
  <si>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</si>
  <si>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</si>
  <si>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</si>
  <si>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</si>
  <si>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</si>
  <si>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</si>
  <si>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</si>
  <si>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</si>
  <si>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</si>
  <si>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</si>
  <si>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</si>
  <si>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</si>
  <si>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</si>
  <si>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</si>
  <si>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</si>
  <si>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</si>
  <si>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</si>
  <si>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</si>
  <si>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</si>
  <si>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</si>
  <si>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</si>
  <si>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</si>
  <si>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</si>
  <si>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</si>
  <si>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</si>
  <si>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</si>
  <si>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</si>
  <si>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</si>
  <si>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</si>
  <si>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</si>
  <si>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</si>
  <si>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</si>
  <si>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</si>
  <si>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</si>
  <si>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</si>
  <si>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</si>
  <si>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</si>
  <si>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</si>
  <si>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</si>
  <si>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</si>
  <si>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</si>
  <si>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</si>
  <si>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</si>
  <si>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</si>
  <si>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</si>
  <si>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</si>
  <si>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</si>
  <si>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</si>
  <si>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</si>
  <si>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</si>
  <si>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</si>
  <si>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</si>
  <si>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</si>
  <si>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</si>
  <si>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</si>
  <si>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</si>
  <si>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</si>
  <si>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</si>
  <si>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</si>
  <si>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</si>
  <si>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</si>
  <si>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</si>
  <si>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</si>
  <si>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</si>
  <si>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</si>
  <si>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</si>
  <si>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</si>
  <si>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</si>
  <si>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</si>
  <si>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</si>
  <si>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</si>
  <si>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</si>
  <si>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</si>
  <si>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</si>
  <si>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</si>
  <si>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</si>
  <si>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</si>
  <si>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</si>
  <si>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</si>
  <si>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</si>
  <si>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</si>
  <si>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</si>
  <si>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</si>
  <si>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</si>
  <si>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</si>
  <si>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</si>
  <si>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</si>
  <si>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</si>
  <si>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</si>
  <si>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</si>
  <si>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</si>
  <si>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</si>
  <si>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</si>
  <si>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</si>
  <si>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</si>
  <si>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</si>
  <si>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</si>
  <si>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</si>
  <si>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</si>
  <si>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</si>
  <si>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</si>
  <si>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</si>
  <si>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</si>
  <si>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</si>
  <si>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</si>
  <si>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</si>
  <si>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</si>
  <si>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</si>
  <si>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</si>
  <si>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</si>
  <si>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</si>
  <si>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</si>
  <si>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</si>
  <si>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</si>
  <si>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</si>
  <si>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</si>
  <si>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</si>
  <si>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</si>
  <si>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</si>
  <si>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</si>
  <si>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</si>
  <si>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</si>
  <si>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</si>
  <si>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</si>
  <si>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</si>
  <si>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</si>
  <si>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</si>
  <si>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</si>
  <si>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</si>
  <si>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</si>
  <si>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</si>
  <si>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</si>
  <si>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</si>
  <si>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</si>
  <si>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</si>
  <si>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</si>
  <si>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</si>
  <si>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</si>
  <si>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</si>
  <si>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</si>
  <si>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</si>
  <si>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</si>
  <si>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</si>
  <si>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</si>
  <si>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</si>
  <si>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</si>
  <si>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</si>
  <si>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</si>
  <si>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</si>
  <si>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</si>
  <si>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</si>
  <si>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</si>
  <si>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</si>
  <si>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</si>
  <si>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</si>
  <si>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</si>
  <si>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</si>
  <si>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</si>
  <si>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</si>
  <si>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</si>
  <si>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</si>
  <si>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</si>
  <si>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</si>
  <si>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</si>
  <si>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</si>
  <si>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</si>
  <si>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</si>
  <si>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</si>
  <si>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</si>
  <si>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</si>
  <si>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</si>
  <si>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</si>
  <si>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</si>
  <si>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</si>
  <si>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</si>
  <si>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</si>
  <si>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</si>
  <si>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</si>
  <si>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</si>
  <si>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</si>
  <si>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</si>
  <si>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</si>
  <si>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</si>
  <si>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</si>
  <si>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</si>
  <si>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</si>
  <si>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</si>
  <si>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</si>
  <si>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</si>
  <si>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</si>
  <si>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</si>
  <si>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</si>
  <si>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</si>
  <si>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</si>
  <si>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</si>
  <si>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</si>
  <si>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</si>
  <si>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</si>
  <si>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</si>
  <si>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</si>
  <si>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</si>
  <si>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</si>
  <si>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</si>
  <si>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</si>
  <si>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</si>
  <si>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</si>
  <si>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</si>
  <si>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</si>
  <si>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</si>
  <si>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</si>
  <si>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</si>
  <si>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</si>
  <si>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</si>
  <si>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</si>
  <si>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</si>
  <si>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</si>
  <si>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</si>
  <si>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</si>
  <si>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</si>
  <si>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</si>
  <si>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</si>
  <si>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</si>
  <si>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</si>
  <si>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</si>
  <si>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</si>
  <si>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</si>
  <si>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</si>
  <si>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</si>
  <si>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</si>
  <si>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</si>
  <si>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</si>
  <si>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</si>
  <si>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</si>
  <si>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</si>
  <si>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</si>
  <si>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</si>
  <si>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</si>
  <si>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</si>
  <si>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</si>
  <si>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</si>
  <si>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</si>
  <si>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</si>
  <si>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</si>
  <si>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</si>
  <si>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</si>
  <si>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</si>
  <si>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</si>
  <si>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</si>
  <si>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</si>
  <si>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</si>
  <si>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</si>
  <si>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</si>
  <si>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</si>
  <si>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</si>
  <si>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</si>
  <si>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</si>
  <si>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</si>
  <si>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</si>
  <si>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</si>
  <si>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</si>
  <si>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</si>
  <si>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</si>
  <si>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</si>
  <si>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</si>
  <si>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</si>
  <si>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</si>
  <si>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</si>
  <si>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</si>
  <si>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</si>
  <si>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</si>
  <si>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</si>
  <si>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</si>
  <si>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</si>
  <si>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</si>
  <si>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</si>
  <si>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</si>
  <si>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</si>
  <si>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</si>
  <si>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</si>
  <si>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</si>
  <si>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</si>
  <si>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</si>
  <si>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</si>
  <si>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</si>
  <si>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</si>
  <si>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</si>
  <si>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</si>
  <si>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</si>
  <si>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</si>
  <si>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</si>
  <si>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</si>
  <si>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</si>
  <si>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</si>
  <si>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</si>
  <si>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</si>
  <si>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</si>
  <si>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</si>
  <si>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</si>
  <si>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</si>
  <si>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</si>
  <si>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</si>
  <si>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</si>
  <si>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</si>
  <si>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</si>
  <si>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</si>
  <si>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</si>
  <si>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</si>
  <si>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</si>
  <si>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</si>
  <si>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</si>
  <si>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</si>
  <si>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</si>
  <si>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</si>
  <si>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</si>
  <si>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</si>
  <si>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</si>
  <si>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</si>
  <si>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</si>
  <si>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</si>
  <si>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</si>
  <si>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</si>
  <si>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</si>
  <si>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</si>
  <si>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</si>
  <si>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</si>
  <si>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</si>
  <si>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</si>
  <si>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</si>
  <si>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</si>
  <si>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</si>
  <si>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</si>
  <si>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</si>
  <si>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</si>
  <si>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</si>
  <si>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</si>
  <si>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</si>
  <si>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</si>
  <si>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</si>
  <si>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</si>
  <si>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</si>
  <si>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</si>
  <si>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</si>
  <si>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</si>
  <si>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</si>
  <si>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</si>
  <si>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</si>
  <si>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</si>
  <si>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</si>
  <si>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</si>
  <si>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</si>
  <si>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</si>
  <si>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</si>
  <si>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</si>
  <si>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</si>
  <si>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</si>
  <si>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</si>
  <si>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</si>
  <si>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</si>
  <si>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</si>
  <si>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</si>
  <si>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</si>
  <si>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</si>
  <si>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</si>
  <si>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</si>
  <si>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</si>
  <si>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</si>
  <si>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</si>
  <si>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</si>
  <si>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</si>
  <si>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</si>
  <si>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</si>
  <si>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</si>
  <si>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</si>
  <si>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</si>
  <si>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</si>
  <si>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</si>
  <si>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</si>
  <si>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</si>
  <si>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</si>
  <si>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</si>
  <si>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</si>
  <si>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</si>
  <si>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</si>
  <si>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</si>
  <si>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</si>
  <si>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</si>
  <si>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</si>
  <si>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</si>
  <si>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</si>
  <si>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</si>
  <si>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</si>
  <si>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</si>
  <si>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</si>
  <si>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</si>
  <si>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</si>
  <si>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</si>
  <si>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</si>
  <si>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</si>
  <si>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</si>
  <si>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</si>
  <si>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</si>
  <si>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</si>
  <si>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</si>
  <si>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</si>
  <si>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</si>
  <si>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</si>
  <si>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</si>
  <si>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</si>
  <si>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</si>
  <si>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</si>
  <si>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</si>
  <si>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</si>
  <si>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</si>
  <si>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</si>
  <si>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</si>
  <si>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Formula</t>
  </si>
  <si>
    <t>=IF(J$12=1,Fcast_TA!J18,I18*(1+Fcast_TA!J18))</t>
  </si>
  <si>
    <t>Options</t>
  </si>
  <si>
    <t>Key</t>
  </si>
  <si>
    <t>Purpose</t>
  </si>
  <si>
    <t>Result</t>
  </si>
  <si>
    <t>Operator</t>
  </si>
  <si>
    <t>Function</t>
  </si>
  <si>
    <t>Range</t>
  </si>
  <si>
    <t>Sketch</t>
  </si>
  <si>
    <t>IF</t>
  </si>
  <si>
    <t>Final Result</t>
  </si>
  <si>
    <t>=</t>
  </si>
  <si>
    <t>Logical Test</t>
  </si>
  <si>
    <t>J$12</t>
  </si>
  <si>
    <t>Argument 1</t>
  </si>
  <si>
    <t>Argument 2</t>
  </si>
  <si>
    <t>Fcast_TA!J18</t>
  </si>
  <si>
    <t>If True</t>
  </si>
  <si>
    <t>×</t>
  </si>
  <si>
    <t>If False</t>
  </si>
  <si>
    <t>I18</t>
  </si>
  <si>
    <t>+</t>
  </si>
  <si>
    <t>Operational Forecasts - Formula Schematic</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</si>
  <si>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</si>
  <si>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</si>
  <si>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</si>
  <si>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</si>
  <si>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</si>
  <si>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</si>
  <si>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</si>
  <si>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</si>
  <si>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</si>
  <si>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</si>
  <si>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</si>
  <si>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</si>
  <si>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</si>
  <si>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</si>
  <si>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</si>
  <si>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</si>
  <si>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</si>
  <si>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</si>
  <si>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</si>
  <si>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</si>
  <si>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</si>
  <si>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</si>
  <si>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</si>
  <si>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</si>
  <si>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 xml:space="preserve">  Page  </t>
  </si>
  <si>
    <t>Total Pages: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</si>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</sst>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4">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u val="single"/>
      <sz val="8"/>
      <color indexed="60"/>
      <name val="Tahoma"/>
      <family val="2"/>
    </font>
    <font>
      <sz val="8"/>
      <color indexed="63"/>
      <name val="Tahoma"/>
      <family val="2"/>
    </font>
    <font>
      <sz val="8"/>
      <color indexed="58"/>
      <name val="Tahoma"/>
      <family val="2"/>
    </font>
    <font>
      <b/>
      <sz val="10"/>
      <color indexed="56"/>
      <name val="Tahoma"/>
      <family val="2"/>
    </font>
    <font>
      <b/>
      <sz val="9"/>
      <color indexed="56"/>
      <name val="Tahoma"/>
      <family val="2"/>
    </font>
    <font>
      <b/>
      <sz val="9"/>
      <color indexed="8"/>
      <name val="Tahoma"/>
      <family val="2"/>
    </font>
  </fonts>
  <fills count="12">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56"/>
        <bgColor indexed="64"/>
      </patternFill>
    </fill>
    <fill>
      <patternFill patternType="solid">
        <fgColor indexed="59"/>
        <bgColor indexed="64"/>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40">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color indexed="58"/>
      </left>
      <right style="thin">
        <color indexed="58"/>
      </right>
      <top style="thin">
        <color indexed="58"/>
      </top>
      <bottom/>
    </border>
    <border>
      <left style="thin">
        <color indexed="58"/>
      </left>
      <right style="thin">
        <color indexed="58"/>
      </right>
      <top style="thin">
        <color indexed="58"/>
      </top>
      <bottom style="thin">
        <color indexed="58"/>
      </bottom>
    </border>
    <border>
      <left style="thin">
        <color indexed="56"/>
      </left>
      <right style="thin">
        <color indexed="56"/>
      </right>
      <top style="thin">
        <color indexed="56"/>
      </top>
      <bottom/>
    </border>
    <border>
      <left style="thin">
        <color indexed="56"/>
      </left>
      <right style="thin">
        <color indexed="56"/>
      </right>
      <top style="thin">
        <color indexed="56"/>
      </top>
      <bottom style="thin">
        <color indexed="56"/>
      </bottom>
    </border>
    <border>
      <left style="thin">
        <color indexed="59"/>
      </left>
      <right style="thin">
        <color indexed="59"/>
      </right>
      <top style="thin">
        <color indexed="59"/>
      </top>
      <bottom/>
    </border>
    <border>
      <left style="thin">
        <color indexed="59"/>
      </left>
      <right style="thin">
        <color indexed="59"/>
      </right>
      <top style="thin">
        <color indexed="59"/>
      </top>
      <bottom style="thin">
        <color indexed="59"/>
      </bottom>
    </border>
    <border>
      <left style="thin">
        <color indexed="60"/>
      </left>
      <right style="thin">
        <color indexed="60"/>
      </right>
      <top style="thin">
        <color indexed="60"/>
      </top>
      <bottom/>
    </border>
    <border>
      <left style="thin">
        <color indexed="60"/>
      </left>
      <right style="thin">
        <color indexed="60"/>
      </right>
      <top style="thin">
        <color indexed="60"/>
      </top>
      <bottom style="thin">
        <color indexed="60"/>
      </bottom>
    </border>
    <border>
      <left style="thin">
        <color indexed="18"/>
      </left>
      <right style="thin">
        <color indexed="18"/>
      </right>
      <top style="thin">
        <color indexed="18"/>
      </top>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90">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0" fontId="21"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4" fillId="0" borderId="0" xfId="0" applyFont="1" applyFill="1" applyAlignment="1">
      <alignment vertical="top" wrapText="1"/>
    </xf>
    <xf numFmtId="0" fontId="0" fillId="0" borderId="0" xfId="0" applyFill="1" applyAlignment="1">
      <alignment vertical="top"/>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30" fillId="0" borderId="0" xfId="50" applyFont="1">
      <alignment vertical="center"/>
      <protection/>
    </xf>
    <xf numFmtId="0" fontId="13" fillId="0" borderId="0" xfId="47" applyAlignment="1">
      <alignment horizontal="left" vertical="center"/>
      <protection/>
    </xf>
    <xf numFmtId="0" fontId="0" fillId="0" borderId="0" xfId="50" quotePrefix="1">
      <alignment vertical="center"/>
      <protection/>
    </xf>
    <xf numFmtId="0" fontId="30" fillId="0" borderId="0" xfId="22" applyFont="1" applyAlignment="1">
      <alignment horizontal="center" vertical="center"/>
      <protection locked="0"/>
    </xf>
    <xf numFmtId="0" fontId="39" fillId="3" borderId="18" xfId="50" applyFont="1" applyFill="1" applyBorder="1" applyAlignment="1">
      <alignment horizontal="center" vertical="center" wrapText="1"/>
      <protection/>
    </xf>
    <xf numFmtId="0" fontId="40" fillId="0" borderId="18" xfId="50" applyFont="1" applyBorder="1" applyAlignment="1">
      <alignment horizontal="center" vertical="center" wrapText="1"/>
      <protection/>
    </xf>
    <xf numFmtId="0" fontId="40" fillId="0" borderId="19" xfId="50" applyFont="1" applyBorder="1" applyAlignment="1">
      <alignment horizontal="center" vertical="center" wrapText="1"/>
      <protection/>
    </xf>
    <xf numFmtId="0" fontId="39" fillId="4" borderId="20" xfId="50" applyFont="1" applyFill="1" applyBorder="1" applyAlignment="1">
      <alignment horizontal="center" vertical="center" wrapText="1"/>
      <protection/>
    </xf>
    <xf numFmtId="0" fontId="8" fillId="0" borderId="20" xfId="50" applyFont="1" applyBorder="1" applyAlignment="1">
      <alignment horizontal="center" vertical="center" wrapText="1"/>
      <protection/>
    </xf>
    <xf numFmtId="0" fontId="8" fillId="0" borderId="21" xfId="50" applyFont="1" applyBorder="1" applyAlignment="1">
      <alignment horizontal="center" vertical="center" wrapText="1"/>
      <protection/>
    </xf>
    <xf numFmtId="0" fontId="39" fillId="5" borderId="22" xfId="50" applyFont="1" applyFill="1" applyBorder="1" applyAlignment="1">
      <alignment horizontal="center" vertical="center" wrapText="1"/>
      <protection/>
    </xf>
    <xf numFmtId="0" fontId="28" fillId="0" borderId="22" xfId="50" applyFont="1" applyBorder="1" applyAlignment="1">
      <alignment horizontal="center" vertical="center" wrapText="1"/>
      <protection/>
    </xf>
    <xf numFmtId="0" fontId="28" fillId="0" borderId="23" xfId="50" applyFont="1" applyBorder="1" applyAlignment="1">
      <alignment horizontal="center" vertical="center" wrapText="1"/>
      <protection/>
    </xf>
    <xf numFmtId="0" fontId="39" fillId="6" borderId="24" xfId="50" applyFont="1" applyFill="1" applyBorder="1" applyAlignment="1">
      <alignment horizontal="center" vertical="center" wrapText="1"/>
      <protection/>
    </xf>
    <xf numFmtId="0" fontId="21" fillId="0" borderId="24" xfId="50" applyFont="1" applyBorder="1" applyAlignment="1">
      <alignment horizontal="center" vertical="center" wrapText="1"/>
      <protection/>
    </xf>
    <xf numFmtId="0" fontId="21" fillId="0" borderId="25" xfId="50" applyFont="1" applyBorder="1" applyAlignment="1">
      <alignment horizontal="center" vertical="center" wrapText="1"/>
      <protection/>
    </xf>
    <xf numFmtId="0" fontId="39" fillId="2" borderId="26" xfId="50" applyFont="1" applyFill="1" applyBorder="1" applyAlignment="1">
      <alignment horizontal="center" vertical="center" wrapText="1"/>
      <protection/>
    </xf>
    <xf numFmtId="0" fontId="27" fillId="0" borderId="26" xfId="50" applyFont="1" applyBorder="1" applyAlignment="1">
      <alignment horizontal="center" vertical="center" wrapText="1"/>
      <protection/>
    </xf>
    <xf numFmtId="0" fontId="27" fillId="0" borderId="1" xfId="50" applyFont="1" applyBorder="1" applyAlignment="1">
      <alignment horizontal="center" vertical="center" wrapText="1"/>
      <protection/>
    </xf>
    <xf numFmtId="0" fontId="30" fillId="0" borderId="0" xfId="56" applyFont="1" applyAlignment="1">
      <alignment horizontal="center" vertical="center"/>
      <protection/>
    </xf>
    <xf numFmtId="164" fontId="8" fillId="0" borderId="21" xfId="50" applyNumberFormat="1" applyFont="1" applyBorder="1" applyAlignment="1">
      <alignment horizontal="center" vertical="center" wrapText="1"/>
      <protection/>
    </xf>
    <xf numFmtId="168" fontId="28" fillId="0" borderId="23" xfId="50" applyNumberFormat="1" applyFont="1" applyBorder="1" applyAlignment="1">
      <alignment horizontal="center" vertical="center" wrapText="1"/>
      <protection/>
    </xf>
    <xf numFmtId="164" fontId="28" fillId="0" borderId="23" xfId="50" applyNumberFormat="1" applyFont="1" applyBorder="1" applyAlignment="1">
      <alignment horizontal="center" vertical="center" wrapText="1"/>
      <protection/>
    </xf>
    <xf numFmtId="0" fontId="28" fillId="0" borderId="23" xfId="50" applyNumberFormat="1" applyFont="1" applyBorder="1" applyAlignment="1">
      <alignment horizontal="center" vertical="center" wrapText="1"/>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41" fillId="0" borderId="0" xfId="33" applyNumberFormat="1" applyFont="1" applyAlignment="1">
      <alignment horizontal="center" vertical="center"/>
      <protection/>
    </xf>
    <xf numFmtId="168" fontId="42"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21" fillId="0" borderId="0" xfId="28" applyFont="1" applyAlignment="1">
      <alignment horizontal="center" vertical="center"/>
      <protection/>
    </xf>
    <xf numFmtId="0" fontId="21" fillId="0" borderId="0" xfId="28" applyFont="1" applyAlignment="1">
      <alignment horizontal="center" vertical="top"/>
      <protection/>
    </xf>
    <xf numFmtId="0" fontId="21" fillId="0" borderId="0" xfId="28" applyFont="1" applyAlignment="1">
      <alignment horizontal="left" vertical="top" wrapText="1"/>
      <protection/>
    </xf>
    <xf numFmtId="0" fontId="22" fillId="0" borderId="3" xfId="26" applyFont="1" applyBorder="1" applyAlignment="1">
      <alignment horizontal="center" vertical="center"/>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8" fillId="0" borderId="0" xfId="35" applyAlignment="1" quotePrefix="1">
      <alignment horizontal="right" vertical="center"/>
      <protection/>
    </xf>
    <xf numFmtId="0" fontId="8" fillId="0" borderId="0" xfId="35">
      <alignment vertical="center"/>
      <protection/>
    </xf>
    <xf numFmtId="0" fontId="16" fillId="0" borderId="0" xfId="34" applyAlignment="1">
      <alignment horizontal="right" vertical="center"/>
      <protection/>
    </xf>
    <xf numFmtId="0" fontId="16" fillId="0" borderId="0" xfId="34">
      <alignment vertical="center"/>
      <protection/>
    </xf>
    <xf numFmtId="169" fontId="15" fillId="0" borderId="0" xfId="33" applyNumberFormat="1" applyAlignment="1">
      <alignment horizontal="right" vertical="center"/>
      <protection/>
    </xf>
    <xf numFmtId="0" fontId="15" fillId="0" borderId="0" xfId="33">
      <alignment vertical="center"/>
      <protection/>
    </xf>
    <xf numFmtId="0" fontId="20" fillId="0" borderId="0" xfId="27" applyFont="1" applyFill="1" applyAlignment="1">
      <alignment vertical="top"/>
      <protection/>
    </xf>
    <xf numFmtId="0" fontId="21" fillId="0" borderId="0" xfId="28" applyFont="1" applyFill="1" applyAlignment="1">
      <alignment vertical="top" wrapText="1"/>
      <protection/>
    </xf>
    <xf numFmtId="0" fontId="21" fillId="0" borderId="0" xfId="28" applyFont="1" applyFill="1" applyAlignment="1" quotePrefix="1">
      <alignment vertical="top"/>
      <protection/>
    </xf>
    <xf numFmtId="0" fontId="0" fillId="0" borderId="0" xfId="0" applyFill="1" applyAlignment="1">
      <alignment vertical="top"/>
    </xf>
    <xf numFmtId="0" fontId="21" fillId="0" borderId="0" xfId="28" applyFont="1" applyFill="1" applyAlignment="1">
      <alignment vertical="center" wrapText="1"/>
      <protection/>
    </xf>
    <xf numFmtId="0" fontId="7" fillId="0" borderId="0" xfId="32" applyFill="1">
      <alignment vertical="center"/>
      <protection/>
    </xf>
    <xf numFmtId="0" fontId="21" fillId="0" borderId="0" xfId="28" applyFont="1" applyFill="1">
      <alignment vertical="center"/>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 fillId="0" borderId="0" xfId="31" applyAlignment="1">
      <alignment horizontal="center" vertical="center"/>
      <protection/>
    </xf>
    <xf numFmtId="0" fontId="7" fillId="0" borderId="0" xfId="53">
      <alignment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1" fillId="0" borderId="0" xfId="28" applyFont="1" applyAlignment="1">
      <alignment horizontal="left" vertical="center"/>
      <protection/>
    </xf>
    <xf numFmtId="0" fontId="7" fillId="0" borderId="0" xfId="32" applyAlignment="1">
      <alignment horizontal="center" vertical="top"/>
      <protection/>
    </xf>
    <xf numFmtId="0" fontId="0" fillId="2" borderId="27" xfId="0" applyFill="1" applyBorder="1" applyAlignment="1">
      <alignment vertical="center"/>
    </xf>
    <xf numFmtId="0" fontId="0" fillId="2" borderId="28" xfId="0" applyFill="1" applyBorder="1" applyAlignment="1">
      <alignment vertical="center"/>
    </xf>
    <xf numFmtId="0" fontId="0" fillId="7" borderId="27" xfId="0" applyFill="1" applyBorder="1" applyAlignment="1">
      <alignment vertical="center"/>
    </xf>
    <xf numFmtId="0" fontId="0" fillId="7" borderId="28" xfId="0" applyFill="1" applyBorder="1" applyAlignment="1">
      <alignment vertical="center"/>
    </xf>
    <xf numFmtId="0" fontId="0" fillId="8" borderId="27" xfId="0" applyFill="1" applyBorder="1" applyAlignment="1">
      <alignment vertical="center"/>
    </xf>
    <xf numFmtId="0" fontId="0" fillId="8" borderId="28" xfId="0" applyFill="1" applyBorder="1" applyAlignment="1">
      <alignment vertical="center"/>
    </xf>
    <xf numFmtId="0" fontId="2"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9"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9"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30"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9"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9" borderId="31" xfId="48" applyFont="1" applyFill="1" applyBorder="1" applyAlignment="1">
      <alignment horizontal="center" vertical="center"/>
      <protection/>
    </xf>
    <xf numFmtId="0" fontId="36" fillId="9" borderId="32" xfId="48" applyFont="1" applyFill="1" applyBorder="1" applyAlignment="1">
      <alignment horizontal="center" vertical="center"/>
      <protection/>
    </xf>
    <xf numFmtId="0" fontId="36" fillId="9" borderId="33"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10" borderId="34" xfId="48" applyFont="1" applyFill="1" applyBorder="1" applyAlignment="1">
      <alignment horizontal="center" vertical="center"/>
      <protection/>
    </xf>
    <xf numFmtId="0" fontId="36" fillId="10" borderId="35" xfId="48" applyFont="1" applyFill="1" applyBorder="1" applyAlignment="1">
      <alignment horizontal="center" vertical="center"/>
      <protection/>
    </xf>
    <xf numFmtId="0" fontId="36" fillId="10" borderId="36" xfId="48" applyFont="1" applyFill="1" applyBorder="1" applyAlignment="1">
      <alignment horizontal="center" vertical="center"/>
      <protection/>
    </xf>
    <xf numFmtId="0" fontId="36" fillId="11" borderId="37" xfId="48" applyFont="1" applyFill="1" applyBorder="1" applyAlignment="1">
      <alignment horizontal="center" vertical="center"/>
      <protection/>
    </xf>
    <xf numFmtId="0" fontId="36" fillId="11" borderId="38" xfId="48" applyFont="1" applyFill="1" applyBorder="1" applyAlignment="1">
      <alignment horizontal="center" vertical="center"/>
      <protection/>
    </xf>
    <xf numFmtId="0" fontId="36" fillId="11" borderId="39" xfId="48" applyFont="1" applyFill="1" applyBorder="1" applyAlignment="1">
      <alignment horizontal="center"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0">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rgb="FFFFFFFF"/>
      </font>
      <fill>
        <patternFill>
          <bgColor rgb="FFC0C0C0"/>
        </patternFill>
      </fill>
      <border>
        <left style="thin">
          <color rgb="FFC0C0C0"/>
        </left>
        <right style="thin">
          <color rgb="FFFF0000"/>
        </right>
        <top style="thin"/>
        <bottom style="thin">
          <color rgb="FFFF0000"/>
        </bottom>
      </border>
    </dxf>
    <dxf>
      <font>
        <color rgb="FFC0C0C0"/>
      </font>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36935550"/>
        <c:axId val="63984495"/>
      </c:barChart>
      <c:catAx>
        <c:axId val="36935550"/>
        <c:scaling>
          <c:orientation val="minMax"/>
        </c:scaling>
        <c:axPos val="b"/>
        <c:delete val="0"/>
        <c:numFmt formatCode="General" sourceLinked="1"/>
        <c:majorTickMark val="out"/>
        <c:minorTickMark val="none"/>
        <c:tickLblPos val="nextTo"/>
        <c:spPr>
          <a:ln w="3175">
            <a:solidFill>
              <a:srgbClr val="808080"/>
            </a:solidFill>
          </a:ln>
        </c:spPr>
        <c:crossAx val="63984495"/>
        <c:crosses val="autoZero"/>
        <c:auto val="1"/>
        <c:lblOffset val="100"/>
        <c:tickLblSkip val="1"/>
        <c:noMultiLvlLbl val="0"/>
      </c:catAx>
      <c:valAx>
        <c:axId val="63984495"/>
        <c:scaling>
          <c:orientation val="minMax"/>
        </c:scaling>
        <c:axPos val="l"/>
        <c:delete val="0"/>
        <c:numFmt formatCode="General" sourceLinked="1"/>
        <c:majorTickMark val="out"/>
        <c:minorTickMark val="none"/>
        <c:tickLblPos val="nextTo"/>
        <c:spPr>
          <a:ln w="3175">
            <a:solidFill>
              <a:srgbClr val="808080"/>
            </a:solidFill>
          </a:ln>
        </c:spPr>
        <c:crossAx val="36935550"/>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38989544"/>
        <c:axId val="15361577"/>
      </c:barChart>
      <c:catAx>
        <c:axId val="38989544"/>
        <c:scaling>
          <c:orientation val="minMax"/>
        </c:scaling>
        <c:axPos val="b"/>
        <c:delete val="0"/>
        <c:numFmt formatCode="General" sourceLinked="1"/>
        <c:majorTickMark val="out"/>
        <c:minorTickMark val="none"/>
        <c:tickLblPos val="nextTo"/>
        <c:spPr>
          <a:ln w="3175">
            <a:solidFill>
              <a:srgbClr val="808080"/>
            </a:solidFill>
          </a:ln>
        </c:spPr>
        <c:crossAx val="15361577"/>
        <c:crosses val="autoZero"/>
        <c:auto val="1"/>
        <c:lblOffset val="100"/>
        <c:tickLblSkip val="1"/>
        <c:noMultiLvlLbl val="0"/>
      </c:catAx>
      <c:valAx>
        <c:axId val="15361577"/>
        <c:scaling>
          <c:orientation val="minMax"/>
        </c:scaling>
        <c:axPos val="l"/>
        <c:delete val="0"/>
        <c:numFmt formatCode="General" sourceLinked="1"/>
        <c:majorTickMark val="out"/>
        <c:minorTickMark val="none"/>
        <c:tickLblPos val="nextTo"/>
        <c:spPr>
          <a:ln w="3175">
            <a:solidFill>
              <a:srgbClr val="808080"/>
            </a:solidFill>
          </a:ln>
        </c:spPr>
        <c:crossAx val="389895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4036466"/>
        <c:axId val="36328195"/>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4036466"/>
        <c:axId val="36328195"/>
      </c:lineChart>
      <c:catAx>
        <c:axId val="4036466"/>
        <c:scaling>
          <c:orientation val="minMax"/>
        </c:scaling>
        <c:axPos val="b"/>
        <c:delete val="0"/>
        <c:numFmt formatCode="General" sourceLinked="1"/>
        <c:majorTickMark val="out"/>
        <c:minorTickMark val="none"/>
        <c:tickLblPos val="low"/>
        <c:spPr>
          <a:ln w="3175">
            <a:solidFill>
              <a:srgbClr val="808080"/>
            </a:solidFill>
          </a:ln>
        </c:spPr>
        <c:crossAx val="36328195"/>
        <c:crosses val="autoZero"/>
        <c:auto val="1"/>
        <c:lblOffset val="100"/>
        <c:tickLblSkip val="1"/>
        <c:noMultiLvlLbl val="0"/>
      </c:catAx>
      <c:valAx>
        <c:axId val="36328195"/>
        <c:scaling>
          <c:orientation val="minMax"/>
        </c:scaling>
        <c:axPos val="l"/>
        <c:delete val="0"/>
        <c:numFmt formatCode="General" sourceLinked="1"/>
        <c:majorTickMark val="out"/>
        <c:minorTickMark val="none"/>
        <c:tickLblPos val="nextTo"/>
        <c:spPr>
          <a:ln w="3175">
            <a:solidFill>
              <a:srgbClr val="808080"/>
            </a:solidFill>
          </a:ln>
        </c:spPr>
        <c:crossAx val="4036466"/>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58518300"/>
        <c:axId val="56902653"/>
      </c:barChart>
      <c:catAx>
        <c:axId val="58518300"/>
        <c:scaling>
          <c:orientation val="minMax"/>
        </c:scaling>
        <c:axPos val="b"/>
        <c:delete val="0"/>
        <c:numFmt formatCode="General" sourceLinked="1"/>
        <c:majorTickMark val="out"/>
        <c:minorTickMark val="none"/>
        <c:tickLblPos val="nextTo"/>
        <c:spPr>
          <a:ln w="3175">
            <a:solidFill>
              <a:srgbClr val="808080"/>
            </a:solidFill>
          </a:ln>
        </c:spPr>
        <c:crossAx val="56902653"/>
        <c:crosses val="autoZero"/>
        <c:auto val="1"/>
        <c:lblOffset val="100"/>
        <c:tickLblSkip val="1"/>
        <c:noMultiLvlLbl val="0"/>
      </c:catAx>
      <c:valAx>
        <c:axId val="56902653"/>
        <c:scaling>
          <c:orientation val="minMax"/>
        </c:scaling>
        <c:axPos val="l"/>
        <c:delete val="0"/>
        <c:numFmt formatCode="General" sourceLinked="1"/>
        <c:majorTickMark val="out"/>
        <c:minorTickMark val="none"/>
        <c:tickLblPos val="nextTo"/>
        <c:spPr>
          <a:ln w="3175">
            <a:solidFill>
              <a:srgbClr val="808080"/>
            </a:solidFill>
          </a:ln>
        </c:spPr>
        <c:crossAx val="58518300"/>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42361830"/>
        <c:axId val="45712151"/>
      </c:barChart>
      <c:catAx>
        <c:axId val="42361830"/>
        <c:scaling>
          <c:orientation val="minMax"/>
        </c:scaling>
        <c:axPos val="b"/>
        <c:delete val="0"/>
        <c:numFmt formatCode="General" sourceLinked="1"/>
        <c:majorTickMark val="out"/>
        <c:minorTickMark val="none"/>
        <c:tickLblPos val="nextTo"/>
        <c:spPr>
          <a:ln w="3175">
            <a:solidFill>
              <a:srgbClr val="808080"/>
            </a:solidFill>
          </a:ln>
        </c:spPr>
        <c:crossAx val="45712151"/>
        <c:crosses val="autoZero"/>
        <c:auto val="1"/>
        <c:lblOffset val="100"/>
        <c:tickLblSkip val="1"/>
        <c:noMultiLvlLbl val="0"/>
      </c:catAx>
      <c:valAx>
        <c:axId val="45712151"/>
        <c:scaling>
          <c:orientation val="minMax"/>
        </c:scaling>
        <c:axPos val="l"/>
        <c:delete val="0"/>
        <c:numFmt formatCode="General" sourceLinked="1"/>
        <c:majorTickMark val="out"/>
        <c:minorTickMark val="none"/>
        <c:tickLblPos val="nextTo"/>
        <c:spPr>
          <a:ln w="3175">
            <a:solidFill>
              <a:srgbClr val="808080"/>
            </a:solidFill>
          </a:ln>
        </c:spPr>
        <c:crossAx val="42361830"/>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4</xdr:col>
      <xdr:colOff>0</xdr:colOff>
      <xdr:row>20</xdr:row>
      <xdr:rowOff>0</xdr:rowOff>
    </xdr:to>
    <xdr:sp>
      <xdr:nvSpPr>
        <xdr:cNvPr id="1" name="Rectangle 1"/>
        <xdr:cNvSpPr>
          <a:spLocks/>
        </xdr:cNvSpPr>
      </xdr:nvSpPr>
      <xdr:spPr>
        <a:xfrm>
          <a:off x="6858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19</xdr:row>
      <xdr:rowOff>0</xdr:rowOff>
    </xdr:from>
    <xdr:to>
      <xdr:col>7</xdr:col>
      <xdr:colOff>0</xdr:colOff>
      <xdr:row>20</xdr:row>
      <xdr:rowOff>0</xdr:rowOff>
    </xdr:to>
    <xdr:sp>
      <xdr:nvSpPr>
        <xdr:cNvPr id="2" name="Rectangle 2"/>
        <xdr:cNvSpPr>
          <a:spLocks/>
        </xdr:cNvSpPr>
      </xdr:nvSpPr>
      <xdr:spPr>
        <a:xfrm>
          <a:off x="23812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19</xdr:row>
      <xdr:rowOff>0</xdr:rowOff>
    </xdr:from>
    <xdr:to>
      <xdr:col>10</xdr:col>
      <xdr:colOff>0</xdr:colOff>
      <xdr:row>20</xdr:row>
      <xdr:rowOff>0</xdr:rowOff>
    </xdr:to>
    <xdr:sp>
      <xdr:nvSpPr>
        <xdr:cNvPr id="3" name="Rectangle 3"/>
        <xdr:cNvSpPr>
          <a:spLocks/>
        </xdr:cNvSpPr>
      </xdr:nvSpPr>
      <xdr:spPr>
        <a:xfrm>
          <a:off x="40386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19</xdr:row>
      <xdr:rowOff>0</xdr:rowOff>
    </xdr:from>
    <xdr:to>
      <xdr:col>13</xdr:col>
      <xdr:colOff>0</xdr:colOff>
      <xdr:row>20</xdr:row>
      <xdr:rowOff>0</xdr:rowOff>
    </xdr:to>
    <xdr:sp>
      <xdr:nvSpPr>
        <xdr:cNvPr id="4" name="Rectangle 4"/>
        <xdr:cNvSpPr>
          <a:spLocks/>
        </xdr:cNvSpPr>
      </xdr:nvSpPr>
      <xdr:spPr>
        <a:xfrm>
          <a:off x="5686425"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15</xdr:col>
      <xdr:colOff>0</xdr:colOff>
      <xdr:row>19</xdr:row>
      <xdr:rowOff>0</xdr:rowOff>
    </xdr:from>
    <xdr:to>
      <xdr:col>16</xdr:col>
      <xdr:colOff>0</xdr:colOff>
      <xdr:row>20</xdr:row>
      <xdr:rowOff>0</xdr:rowOff>
    </xdr:to>
    <xdr:sp>
      <xdr:nvSpPr>
        <xdr:cNvPr id="5" name="Rectangle 5"/>
        <xdr:cNvSpPr>
          <a:spLocks/>
        </xdr:cNvSpPr>
      </xdr:nvSpPr>
      <xdr:spPr>
        <a:xfrm>
          <a:off x="71437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0</xdr:colOff>
      <xdr:row>26</xdr:row>
      <xdr:rowOff>0</xdr:rowOff>
    </xdr:from>
    <xdr:to>
      <xdr:col>4</xdr:col>
      <xdr:colOff>0</xdr:colOff>
      <xdr:row>27</xdr:row>
      <xdr:rowOff>0</xdr:rowOff>
    </xdr:to>
    <xdr:sp>
      <xdr:nvSpPr>
        <xdr:cNvPr id="6" name="Rectangle 6"/>
        <xdr:cNvSpPr>
          <a:spLocks/>
        </xdr:cNvSpPr>
      </xdr:nvSpPr>
      <xdr:spPr>
        <a:xfrm>
          <a:off x="6858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26</xdr:row>
      <xdr:rowOff>0</xdr:rowOff>
    </xdr:from>
    <xdr:to>
      <xdr:col>7</xdr:col>
      <xdr:colOff>0</xdr:colOff>
      <xdr:row>27</xdr:row>
      <xdr:rowOff>0</xdr:rowOff>
    </xdr:to>
    <xdr:sp>
      <xdr:nvSpPr>
        <xdr:cNvPr id="7" name="Rectangle 7"/>
        <xdr:cNvSpPr>
          <a:spLocks/>
        </xdr:cNvSpPr>
      </xdr:nvSpPr>
      <xdr:spPr>
        <a:xfrm>
          <a:off x="238125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26</xdr:row>
      <xdr:rowOff>0</xdr:rowOff>
    </xdr:from>
    <xdr:to>
      <xdr:col>10</xdr:col>
      <xdr:colOff>0</xdr:colOff>
      <xdr:row>27</xdr:row>
      <xdr:rowOff>0</xdr:rowOff>
    </xdr:to>
    <xdr:sp>
      <xdr:nvSpPr>
        <xdr:cNvPr id="8" name="Rectangle 8"/>
        <xdr:cNvSpPr>
          <a:spLocks/>
        </xdr:cNvSpPr>
      </xdr:nvSpPr>
      <xdr:spPr>
        <a:xfrm>
          <a:off x="40386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30</xdr:row>
      <xdr:rowOff>0</xdr:rowOff>
    </xdr:from>
    <xdr:to>
      <xdr:col>10</xdr:col>
      <xdr:colOff>0</xdr:colOff>
      <xdr:row>31</xdr:row>
      <xdr:rowOff>0</xdr:rowOff>
    </xdr:to>
    <xdr:sp>
      <xdr:nvSpPr>
        <xdr:cNvPr id="9" name="Rectangle 9"/>
        <xdr:cNvSpPr>
          <a:spLocks/>
        </xdr:cNvSpPr>
      </xdr:nvSpPr>
      <xdr:spPr>
        <a:xfrm>
          <a:off x="4038600" y="43815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34</xdr:row>
      <xdr:rowOff>0</xdr:rowOff>
    </xdr:from>
    <xdr:to>
      <xdr:col>7</xdr:col>
      <xdr:colOff>0</xdr:colOff>
      <xdr:row>35</xdr:row>
      <xdr:rowOff>0</xdr:rowOff>
    </xdr:to>
    <xdr:sp>
      <xdr:nvSpPr>
        <xdr:cNvPr id="10" name="Rectangle 10"/>
        <xdr:cNvSpPr>
          <a:spLocks/>
        </xdr:cNvSpPr>
      </xdr:nvSpPr>
      <xdr:spPr>
        <a:xfrm>
          <a:off x="2381250" y="49149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38</xdr:row>
      <xdr:rowOff>0</xdr:rowOff>
    </xdr:from>
    <xdr:to>
      <xdr:col>7</xdr:col>
      <xdr:colOff>0</xdr:colOff>
      <xdr:row>39</xdr:row>
      <xdr:rowOff>0</xdr:rowOff>
    </xdr:to>
    <xdr:sp>
      <xdr:nvSpPr>
        <xdr:cNvPr id="11" name="Rectangle 11"/>
        <xdr:cNvSpPr>
          <a:spLocks/>
        </xdr:cNvSpPr>
      </xdr:nvSpPr>
      <xdr:spPr>
        <a:xfrm>
          <a:off x="238125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38</xdr:row>
      <xdr:rowOff>0</xdr:rowOff>
    </xdr:from>
    <xdr:to>
      <xdr:col>10</xdr:col>
      <xdr:colOff>0</xdr:colOff>
      <xdr:row>39</xdr:row>
      <xdr:rowOff>0</xdr:rowOff>
    </xdr:to>
    <xdr:sp>
      <xdr:nvSpPr>
        <xdr:cNvPr id="12" name="Rectangle 12"/>
        <xdr:cNvSpPr>
          <a:spLocks/>
        </xdr:cNvSpPr>
      </xdr:nvSpPr>
      <xdr:spPr>
        <a:xfrm>
          <a:off x="403860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42</xdr:row>
      <xdr:rowOff>0</xdr:rowOff>
    </xdr:from>
    <xdr:to>
      <xdr:col>10</xdr:col>
      <xdr:colOff>0</xdr:colOff>
      <xdr:row>43</xdr:row>
      <xdr:rowOff>0</xdr:rowOff>
    </xdr:to>
    <xdr:sp>
      <xdr:nvSpPr>
        <xdr:cNvPr id="13" name="Rectangle 13"/>
        <xdr:cNvSpPr>
          <a:spLocks/>
        </xdr:cNvSpPr>
      </xdr:nvSpPr>
      <xdr:spPr>
        <a:xfrm>
          <a:off x="4038600"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42</xdr:row>
      <xdr:rowOff>0</xdr:rowOff>
    </xdr:from>
    <xdr:to>
      <xdr:col>13</xdr:col>
      <xdr:colOff>0</xdr:colOff>
      <xdr:row>43</xdr:row>
      <xdr:rowOff>0</xdr:rowOff>
    </xdr:to>
    <xdr:sp>
      <xdr:nvSpPr>
        <xdr:cNvPr id="14" name="Rectangle 14"/>
        <xdr:cNvSpPr>
          <a:spLocks/>
        </xdr:cNvSpPr>
      </xdr:nvSpPr>
      <xdr:spPr>
        <a:xfrm>
          <a:off x="5686425"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46</xdr:row>
      <xdr:rowOff>0</xdr:rowOff>
    </xdr:from>
    <xdr:to>
      <xdr:col>13</xdr:col>
      <xdr:colOff>0</xdr:colOff>
      <xdr:row>47</xdr:row>
      <xdr:rowOff>0</xdr:rowOff>
    </xdr:to>
    <xdr:sp>
      <xdr:nvSpPr>
        <xdr:cNvPr id="15" name="Rectangle 15"/>
        <xdr:cNvSpPr>
          <a:spLocks/>
        </xdr:cNvSpPr>
      </xdr:nvSpPr>
      <xdr:spPr>
        <a:xfrm>
          <a:off x="5686425" y="6515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26</xdr:row>
      <xdr:rowOff>66675</xdr:rowOff>
    </xdr:to>
    <xdr:sp>
      <xdr:nvSpPr>
        <xdr:cNvPr id="16" name="Elbow Connector 16"/>
        <xdr:cNvSpPr>
          <a:spLocks/>
        </xdr:cNvSpPr>
      </xdr:nvSpPr>
      <xdr:spPr>
        <a:xfrm rot="10800000">
          <a:off x="1876425" y="3914775"/>
          <a:ext cx="5048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26</xdr:row>
      <xdr:rowOff>66675</xdr:rowOff>
    </xdr:to>
    <xdr:sp>
      <xdr:nvSpPr>
        <xdr:cNvPr id="17" name="Elbow Connector 17"/>
        <xdr:cNvSpPr>
          <a:spLocks/>
        </xdr:cNvSpPr>
      </xdr:nvSpPr>
      <xdr:spPr>
        <a:xfrm rot="10800000">
          <a:off x="3571875" y="39147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30</xdr:row>
      <xdr:rowOff>66675</xdr:rowOff>
    </xdr:to>
    <xdr:sp>
      <xdr:nvSpPr>
        <xdr:cNvPr id="18" name="Elbow Connector 18"/>
        <xdr:cNvSpPr>
          <a:spLocks/>
        </xdr:cNvSpPr>
      </xdr:nvSpPr>
      <xdr:spPr>
        <a:xfrm rot="10800000">
          <a:off x="3571875" y="39147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34</xdr:row>
      <xdr:rowOff>66675</xdr:rowOff>
    </xdr:to>
    <xdr:sp>
      <xdr:nvSpPr>
        <xdr:cNvPr id="19" name="Elbow Connector 19"/>
        <xdr:cNvSpPr>
          <a:spLocks/>
        </xdr:cNvSpPr>
      </xdr:nvSpPr>
      <xdr:spPr>
        <a:xfrm rot="10800000">
          <a:off x="1876425" y="3914775"/>
          <a:ext cx="504825" cy="10668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38</xdr:row>
      <xdr:rowOff>66675</xdr:rowOff>
    </xdr:to>
    <xdr:sp>
      <xdr:nvSpPr>
        <xdr:cNvPr id="20" name="Elbow Connector 20"/>
        <xdr:cNvSpPr>
          <a:spLocks/>
        </xdr:cNvSpPr>
      </xdr:nvSpPr>
      <xdr:spPr>
        <a:xfrm rot="10800000">
          <a:off x="1876425" y="3914775"/>
          <a:ext cx="504825" cy="16002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38</xdr:row>
      <xdr:rowOff>66675</xdr:rowOff>
    </xdr:to>
    <xdr:sp>
      <xdr:nvSpPr>
        <xdr:cNvPr id="21" name="Elbow Connector 21"/>
        <xdr:cNvSpPr>
          <a:spLocks/>
        </xdr:cNvSpPr>
      </xdr:nvSpPr>
      <xdr:spPr>
        <a:xfrm rot="10800000">
          <a:off x="3571875" y="55149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42</xdr:row>
      <xdr:rowOff>66675</xdr:rowOff>
    </xdr:to>
    <xdr:sp>
      <xdr:nvSpPr>
        <xdr:cNvPr id="22" name="Elbow Connector 22"/>
        <xdr:cNvSpPr>
          <a:spLocks/>
        </xdr:cNvSpPr>
      </xdr:nvSpPr>
      <xdr:spPr>
        <a:xfrm rot="10800000">
          <a:off x="3571875" y="55149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42</xdr:row>
      <xdr:rowOff>66675</xdr:rowOff>
    </xdr:to>
    <xdr:sp>
      <xdr:nvSpPr>
        <xdr:cNvPr id="23" name="Elbow Connector 23"/>
        <xdr:cNvSpPr>
          <a:spLocks/>
        </xdr:cNvSpPr>
      </xdr:nvSpPr>
      <xdr:spPr>
        <a:xfrm rot="10800000">
          <a:off x="5229225" y="6048375"/>
          <a:ext cx="45720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46</xdr:row>
      <xdr:rowOff>66675</xdr:rowOff>
    </xdr:to>
    <xdr:sp>
      <xdr:nvSpPr>
        <xdr:cNvPr id="24" name="Elbow Connector 24"/>
        <xdr:cNvSpPr>
          <a:spLocks/>
        </xdr:cNvSpPr>
      </xdr:nvSpPr>
      <xdr:spPr>
        <a:xfrm rot="10800000">
          <a:off x="5229225" y="6048375"/>
          <a:ext cx="457200"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3.xml" /><Relationship Id="rId3" Type="http://schemas.openxmlformats.org/officeDocument/2006/relationships/vmlDrawing" Target="../drawings/vmlDrawing27.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vmlDrawing" Target="../drawings/vmlDrawing3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8. Calculation Formulae - Best Practice Model Example"&amp;Err_Chks_Msg&amp;Sens_Chks_Msg&amp;Alt_Chks_Msg</f>
        <v>SMA 8. Calculation Formulae - Best Practice Model Example</v>
      </c>
    </row>
    <row r="11" spans="3:7" ht="10.5">
      <c r="C11" s="230" t="s">
        <v>49</v>
      </c>
      <c r="D11" s="230"/>
      <c r="E11" s="230"/>
      <c r="F11" s="230"/>
      <c r="G11" s="230"/>
    </row>
    <row r="19" ht="10.5">
      <c r="C19" s="23" t="s">
        <v>292</v>
      </c>
    </row>
    <row r="21" ht="10.5">
      <c r="C21" s="23" t="s">
        <v>466</v>
      </c>
    </row>
    <row r="22" spans="3:4" ht="10.5">
      <c r="C22" s="34" t="s">
        <v>203</v>
      </c>
      <c r="D22" s="6" t="s">
        <v>408</v>
      </c>
    </row>
    <row r="23" spans="3:14" ht="10.5">
      <c r="C23" s="34" t="s">
        <v>203</v>
      </c>
      <c r="D23" s="231" t="s">
        <v>576</v>
      </c>
      <c r="E23" s="231"/>
      <c r="F23" s="231"/>
      <c r="G23" s="231"/>
      <c r="H23" s="231"/>
      <c r="I23" s="231"/>
      <c r="J23" s="231"/>
      <c r="K23" s="231"/>
      <c r="L23" s="231"/>
      <c r="M23" s="231"/>
      <c r="N23" s="231"/>
    </row>
    <row r="24" spans="3:14" ht="10.5">
      <c r="C24" s="111"/>
      <c r="D24" s="231"/>
      <c r="E24" s="231"/>
      <c r="F24" s="231"/>
      <c r="G24" s="231"/>
      <c r="H24" s="231"/>
      <c r="I24" s="231"/>
      <c r="J24" s="231"/>
      <c r="K24" s="231"/>
      <c r="L24" s="231"/>
      <c r="M24" s="231"/>
      <c r="N24" s="231"/>
    </row>
    <row r="25" spans="3:4" ht="10.5">
      <c r="C25" s="34" t="s">
        <v>203</v>
      </c>
      <c r="D25" s="6" t="s">
        <v>545</v>
      </c>
    </row>
    <row r="26" spans="3:13" ht="10.5">
      <c r="C26" s="34" t="s">
        <v>203</v>
      </c>
      <c r="D26" s="6" t="s">
        <v>543</v>
      </c>
      <c r="E26" s="5"/>
      <c r="F26" s="5"/>
      <c r="G26" s="5"/>
      <c r="H26" s="5"/>
      <c r="I26" s="5"/>
      <c r="J26" s="5"/>
      <c r="K26" s="5"/>
      <c r="L26" s="5"/>
      <c r="M26" s="5"/>
    </row>
    <row r="27" spans="3:13" ht="10.5">
      <c r="C27" s="34" t="s">
        <v>203</v>
      </c>
      <c r="D27" s="6" t="s">
        <v>571</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513</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69" t="s">
        <v>188</v>
      </c>
      <c r="K11" s="269"/>
    </row>
    <row r="12" spans="4:11" ht="10.5">
      <c r="D12" s="47" t="s">
        <v>342</v>
      </c>
      <c r="J12" s="270" t="str">
        <f>Annual</f>
        <v>Annual</v>
      </c>
      <c r="K12" s="270"/>
    </row>
    <row r="13" spans="4:11" ht="15.75" customHeight="1">
      <c r="D13" s="47" t="s">
        <v>351</v>
      </c>
      <c r="J13" s="51">
        <v>31</v>
      </c>
      <c r="K13" s="51">
        <v>12</v>
      </c>
    </row>
    <row r="14" spans="4:11" ht="10.5">
      <c r="D14" s="47" t="s">
        <v>352</v>
      </c>
      <c r="J14" s="266">
        <v>40179</v>
      </c>
      <c r="K14" s="267"/>
    </row>
    <row r="15" spans="4:11" ht="10.5">
      <c r="D15" s="47" t="s">
        <v>353</v>
      </c>
      <c r="J15" s="271">
        <v>10</v>
      </c>
      <c r="K15" s="271"/>
    </row>
    <row r="16" spans="4:11" ht="10.5" customHeight="1" hidden="1" outlineLevel="2">
      <c r="D16" s="47" t="s">
        <v>354</v>
      </c>
      <c r="J16" s="270" t="str">
        <f>INDEX(LU_Period_Type_Names,MATCH(TS_Periodicity,LU_Periodicity,0))</f>
        <v>Year</v>
      </c>
      <c r="K16" s="270"/>
    </row>
    <row r="17" spans="4:11" ht="10.5" customHeight="1" hidden="1" outlineLevel="2">
      <c r="D17" s="47" t="s">
        <v>355</v>
      </c>
      <c r="J17" s="263" t="str">
        <f>CHOOSE(MATCH(TS_Periodicity,LU_Periodicity,0),Yr_Name,"H","Q","M")</f>
        <v>Year</v>
      </c>
      <c r="K17" s="263"/>
    </row>
    <row r="18" spans="4:11" ht="10.5" customHeight="1" hidden="1" outlineLevel="2">
      <c r="D18" s="47" t="s">
        <v>356</v>
      </c>
      <c r="J18" s="263" t="b">
        <f>OR(AND(DD_TS_Fin_YE_Day&gt;=28,DD_TS_Fin_YE_Mth=2),DD_TS_Fin_YE_Day&gt;=DAY(EOMONTH(DATE(YEAR(TS_Start_Date),DD_TS_Fin_YE_Mth,1),0)))</f>
        <v>1</v>
      </c>
      <c r="K18" s="263"/>
    </row>
    <row r="19" spans="4:11" ht="10.5" customHeight="1" hidden="1" outlineLevel="2">
      <c r="D19" s="47" t="s">
        <v>357</v>
      </c>
      <c r="J19" s="262">
        <f>IF(TS_Mth_End,DATE(YEAR(TS_Per_1_FY_End_Date)-IF(TS_Per_1_FY_End_Date=EOMONTH(DATE(YEAR(TS_Per_1_FY_End_Date),Mths_In_Yr,1),0),0,1),MOD(MONTH(TS_Per_1_FY_End_Date),Mths_In_Yr)+1,1),EDATE(TS_Per_1_FY_End_Date,-Mths_In_Yr)+1)</f>
        <v>40179</v>
      </c>
      <c r="K19" s="262"/>
    </row>
    <row r="20" spans="4:11" ht="10.5" customHeight="1" hidden="1" outlineLevel="2">
      <c r="D20" s="47" t="s">
        <v>358</v>
      </c>
      <c r="J20" s="262">
        <f>IF(TS_Mth_End,EOMONTH(DATE(YEAR(TS_Start_Date)+IF(MONTH(TS_Start_Date)&gt;DD_TS_Fin_YE_Mth,1,0),DD_TS_Fin_YE_Mth,1),0),DATE(YEAR(TS_Start_Date)+IF(TS_Start_Date&gt;DATE(YEAR(TS_Start_Date),DD_TS_Fin_YE_Mth,DD_TS_Fin_YE_Day),1,0),DD_TS_Fin_YE_Mth,DD_TS_Fin_YE_Day))</f>
        <v>40543</v>
      </c>
      <c r="K20" s="262"/>
    </row>
    <row r="21" spans="4:11" ht="10.5" customHeight="1" hidden="1" outlineLevel="2">
      <c r="D21" s="47" t="s">
        <v>347</v>
      </c>
      <c r="J21" s="261">
        <f>INDEX(LU_Pers_In_Yr,MATCH(TS_Periodicity,LU_Periodicity,0))</f>
        <v>1</v>
      </c>
      <c r="K21" s="261"/>
    </row>
    <row r="22" spans="4:11" ht="10.5" customHeight="1" hidden="1" outlineLevel="2">
      <c r="D22" s="47" t="s">
        <v>359</v>
      </c>
      <c r="J22" s="261">
        <f>Mths_In_Yr/TS_Pers_In_Yr</f>
        <v>12</v>
      </c>
      <c r="K22" s="261"/>
    </row>
    <row r="23" spans="4:11" ht="10.5" customHeight="1" hidden="1" outlineLevel="2">
      <c r="D23" s="47" t="s">
        <v>360</v>
      </c>
      <c r="J23" s="261">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61"/>
    </row>
    <row r="24" spans="4:11" ht="10.5" customHeight="1" hidden="1" outlineLevel="2">
      <c r="D24" s="47" t="s">
        <v>361</v>
      </c>
      <c r="J24" s="262">
        <f>IF(TS_Mth_End,EOMONTH(EDATE(TS_Per_1_FY_Start_Date,(TS_Per_1_Number-1)*TS_Mths_In_Per-1),0)+1,EDATE(TS_Per_1_FY_Start_Date,(TS_Per_1_Number-1)*TS_Mths_In_Per))</f>
        <v>40179</v>
      </c>
      <c r="K24" s="262"/>
    </row>
    <row r="25" spans="4:11" ht="10.5" customHeight="1" hidden="1" outlineLevel="2">
      <c r="D25" s="47" t="s">
        <v>187</v>
      </c>
      <c r="J25" s="262">
        <f>IF(TS_Mth_End,EOMONTH(EDATE(TS_Per_1_FY_Start_Date,TS_Per_1_Number*TS_Mths_In_Per-1),0),EDATE(TS_Per_1_FY_Start_Date,TS_Per_1_Number*TS_Mths_In_Per)-1)</f>
        <v>40543</v>
      </c>
      <c r="K25" s="262"/>
    </row>
    <row r="26" spans="4:11" ht="15.75" customHeight="1" collapsed="1">
      <c r="D26" s="47" t="s">
        <v>88</v>
      </c>
      <c r="J26" s="272">
        <v>2</v>
      </c>
      <c r="K26" s="273"/>
    </row>
    <row r="27" spans="4:11" ht="10.5" customHeight="1" hidden="1" outlineLevel="2">
      <c r="D27" s="47" t="s">
        <v>362</v>
      </c>
      <c r="J27" s="270" t="str">
        <f>INDEX(LU_Denom,DD_TS_Denom)</f>
        <v>$Millions</v>
      </c>
      <c r="K27" s="270"/>
    </row>
    <row r="28" ht="10.5" collapsed="1"/>
    <row r="29" ht="11.25">
      <c r="C29" s="46" t="s">
        <v>363</v>
      </c>
    </row>
    <row r="30" ht="10.5"/>
    <row r="31" spans="4:11" ht="17.25" customHeight="1">
      <c r="D31" s="47" t="s">
        <v>364</v>
      </c>
      <c r="J31" s="272" t="b">
        <v>1</v>
      </c>
      <c r="K31" s="273"/>
    </row>
    <row r="32" spans="4:11" ht="10.5">
      <c r="D32" s="47" t="s">
        <v>365</v>
      </c>
      <c r="J32" s="264">
        <v>0</v>
      </c>
      <c r="K32" s="265"/>
    </row>
    <row r="33" spans="4:11" ht="10.5">
      <c r="D33" s="47" t="s">
        <v>366</v>
      </c>
      <c r="J33" s="264">
        <v>0</v>
      </c>
      <c r="K33" s="265"/>
    </row>
    <row r="34" spans="4:11" ht="10.5" customHeight="1" hidden="1" outlineLevel="2">
      <c r="D34" s="47" t="s">
        <v>367</v>
      </c>
      <c r="J34" s="274" t="s">
        <v>384</v>
      </c>
      <c r="K34" s="275"/>
    </row>
    <row r="35" spans="4:11" ht="10.5" customHeight="1" hidden="1" outlineLevel="2">
      <c r="D35" s="47" t="s">
        <v>368</v>
      </c>
      <c r="J35" s="274" t="s">
        <v>385</v>
      </c>
      <c r="K35" s="275"/>
    </row>
    <row r="36" spans="4:11" ht="10.5" customHeight="1" hidden="1" outlineLevel="2">
      <c r="D36" s="47" t="s">
        <v>369</v>
      </c>
      <c r="J36" s="274" t="s">
        <v>386</v>
      </c>
      <c r="K36" s="275"/>
    </row>
    <row r="37" ht="10.5" collapsed="1"/>
    <row r="38" ht="11.25">
      <c r="C38" s="46" t="s">
        <v>370</v>
      </c>
    </row>
    <row r="39" ht="10.5"/>
    <row r="40" spans="4:11" ht="15.75" customHeight="1">
      <c r="D40" s="47" t="s">
        <v>338</v>
      </c>
      <c r="J40" s="272">
        <v>1</v>
      </c>
      <c r="K40" s="273"/>
    </row>
    <row r="41" spans="4:11" ht="10.5">
      <c r="D41" s="47" t="s">
        <v>371</v>
      </c>
      <c r="J41" s="264">
        <v>3</v>
      </c>
      <c r="K41" s="265"/>
    </row>
    <row r="42" spans="4:11" ht="10.5">
      <c r="D42" s="47" t="s">
        <v>372</v>
      </c>
      <c r="J42" s="266">
        <v>41275</v>
      </c>
      <c r="K42" s="267"/>
    </row>
    <row r="43" ht="10.5" hidden="1" outlineLevel="2"/>
    <row r="44" ht="10.5" hidden="1" outlineLevel="2">
      <c r="D44" s="48" t="s">
        <v>373</v>
      </c>
    </row>
    <row r="45" ht="10.5" hidden="1" outlineLevel="2"/>
    <row r="46" spans="5:11" ht="10.5" customHeight="1" hidden="1" outlineLevel="2">
      <c r="E46" s="47" t="s">
        <v>374</v>
      </c>
      <c r="J46" s="262">
        <f>TS_Proj_Start_Date-1</f>
        <v>41274</v>
      </c>
      <c r="K46" s="262"/>
    </row>
    <row r="47" spans="5:11" ht="10.5" customHeight="1" hidden="1" outlineLevel="2">
      <c r="E47" s="47" t="s">
        <v>375</v>
      </c>
      <c r="J47" s="276">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6"/>
    </row>
    <row r="48" spans="5:11" ht="10.5" customHeight="1" hidden="1" outlineLevel="2">
      <c r="E48" s="47" t="s">
        <v>376</v>
      </c>
      <c r="J48" s="261">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61"/>
    </row>
    <row r="49" spans="5:11" ht="10.5" customHeight="1" hidden="1" outlineLevel="2">
      <c r="E49" s="47" t="s">
        <v>377</v>
      </c>
      <c r="J49" s="27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70"/>
    </row>
    <row r="50" ht="10.5" hidden="1" outlineLevel="2"/>
    <row r="51" ht="10.5" hidden="1" outlineLevel="2">
      <c r="D51" s="48" t="s">
        <v>378</v>
      </c>
    </row>
    <row r="52" ht="10.5" hidden="1" outlineLevel="2"/>
    <row r="53" spans="5:11" ht="10.5" customHeight="1" hidden="1" outlineLevel="2">
      <c r="E53" s="47" t="s">
        <v>379</v>
      </c>
      <c r="J53" s="262">
        <f>IF(DD_TS_Data_Term_Basis=1,IF(TS_Mth_End,EOMONTH(EDATE(TS_Per_1_FY_Start_Date,(TS_Per_1_Number+TS_Data_Pers_Ass-1)*TS_Mths_In_Per-1),0),EDATE(TS_Per_1_FY_Start_Date,(TS_Per_1_Number+TS_Data_Pers_Ass-1)*TS_Mths_In_Per)-1)+1,TS_Proj_Start_Date_Ass)</f>
        <v>41275</v>
      </c>
      <c r="K53" s="262"/>
    </row>
    <row r="54" spans="5:11" ht="10.5" customHeight="1" hidden="1" outlineLevel="2">
      <c r="E54" s="47" t="s">
        <v>357</v>
      </c>
      <c r="J54" s="262">
        <f>IF(TS_Mth_End,DATE(YEAR(TS_Proj_Per_1_FY_End_Date)-IF(TS_Proj_Per_1_FY_End_Date=EOMONTH(DATE(YEAR(TS_Proj_Per_1_FY_End_Date),Mths_In_Yr,1),0),0,1),MOD(MONTH(TS_Proj_Per_1_FY_End_Date),Mths_In_Yr)+1,1),EDATE(TS_Proj_Per_1_FY_End_Date,-Mths_In_Yr)+1)</f>
        <v>41275</v>
      </c>
      <c r="K54" s="262"/>
    </row>
    <row r="55" spans="5:11" ht="10.5" customHeight="1" hidden="1" outlineLevel="2">
      <c r="E55" s="47" t="s">
        <v>358</v>
      </c>
      <c r="J55" s="262">
        <f>IF(TS_Mth_End,EOMONTH(DATE(YEAR(TS_Proj_Start_Date)+IF(MONTH(TS_Proj_Start_Date)&gt;DD_TS_Fin_YE_Mth,1,0),DD_TS_Fin_YE_Mth,1),0),DATE(YEAR(TS_Proj_Start_Date)+IF(TS_Proj_Start_Date&gt;DATE(YEAR(TS_Proj_Start_Date),DD_TS_Fin_YE_Mth,DD_TS_Fin_YE_Day),1,0),DD_TS_Fin_YE_Mth,DD_TS_Fin_YE_Day))</f>
        <v>41639</v>
      </c>
      <c r="K55" s="262"/>
    </row>
    <row r="56" spans="5:11" ht="10.5" customHeight="1" hidden="1" outlineLevel="2">
      <c r="E56" s="47" t="s">
        <v>360</v>
      </c>
      <c r="J56" s="261">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61"/>
    </row>
    <row r="57" spans="5:11" ht="10.5" customHeight="1" hidden="1" outlineLevel="2">
      <c r="E57" s="47" t="s">
        <v>361</v>
      </c>
      <c r="J57" s="262">
        <f>IF(TS_Mth_End,EOMONTH(EDATE(TS_Proj_Per_1_FY_Start_Date,(TS_Proj_Per_1_Number-1)*TS_Mths_In_Per-1),0)+1,EDATE(TS_Proj_Per_1_FY_Start_Date,(TS_Proj_Per_1_Number-1)*TS_Mths_In_Per))</f>
        <v>41275</v>
      </c>
      <c r="K57" s="262"/>
    </row>
    <row r="58" spans="5:11" ht="10.5" customHeight="1" hidden="1" outlineLevel="2">
      <c r="E58" s="47" t="s">
        <v>187</v>
      </c>
      <c r="J58" s="262">
        <f>IF(TS_Mth_End,EOMONTH(EDATE(TS_Proj_Per_1_FY_Start_Date,TS_Proj_Per_1_Number*TS_Mths_In_Per-1),0),EDATE(TS_Proj_Per_1_FY_Start_Date,TS_Proj_Per_1_Number*TS_Mths_In_Per)-1)</f>
        <v>41639</v>
      </c>
      <c r="K58" s="262"/>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538</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514</v>
      </c>
    </row>
    <row r="10" ht="16.5">
      <c r="C10" s="25" t="s">
        <v>522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3.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6" t="s">
        <v>393</v>
      </c>
      <c r="K17" s="167"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0"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6"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539</v>
      </c>
      <c r="I34" s="182">
        <f>IF(ISERROR(SUM(J34:Q34)),1,MIN(SUM(J34:Q34),1))</f>
        <v>0</v>
      </c>
      <c r="J34" s="183">
        <f>IF(ISERROR(SUM(J31:J32)),1,IF(MAX(J31:J32)&gt;J$9-J$8+1,1,0))</f>
        <v>0</v>
      </c>
      <c r="K34" s="183">
        <f aca="true" t="shared" si="8" ref="K34:Q34">IF(ISERROR(SUM(K31:K32)),1,IF(MAX(K31:K32)&gt;K$9-K$8+1,1,0))</f>
        <v>0</v>
      </c>
      <c r="L34" s="183">
        <f t="shared" si="8"/>
        <v>0</v>
      </c>
      <c r="M34" s="183">
        <f t="shared" si="8"/>
        <v>0</v>
      </c>
      <c r="N34" s="183">
        <f t="shared" si="8"/>
        <v>0</v>
      </c>
      <c r="O34" s="183">
        <f t="shared" si="8"/>
        <v>0</v>
      </c>
      <c r="P34" s="183">
        <f t="shared" si="8"/>
        <v>0</v>
      </c>
      <c r="Q34" s="183">
        <f t="shared" si="8"/>
        <v>0</v>
      </c>
    </row>
    <row r="35" ht="10.5"/>
    <row r="36" ht="10.5">
      <c r="C36" s="63" t="s">
        <v>204</v>
      </c>
    </row>
    <row r="37" spans="3:4" ht="10.5">
      <c r="C37" s="83">
        <v>1</v>
      </c>
      <c r="D37" s="130"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6" t="s">
        <v>471</v>
      </c>
      <c r="J42" s="167"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0" t="str">
        <f>"Opening balance assumptions are specified in "&amp;INDEX(LU_Denom,DD_TS_Denom)&amp;"."</f>
        <v>Opening balance assumptions are specified in $Millions.</v>
      </c>
    </row>
    <row r="48" spans="3:4" ht="10.5">
      <c r="C48" s="83"/>
      <c r="D48" s="130"/>
    </row>
    <row r="50" ht="12.75">
      <c r="B50" s="113" t="s">
        <v>405</v>
      </c>
    </row>
    <row r="52" ht="11.25">
      <c r="C52" s="62" t="s">
        <v>417</v>
      </c>
    </row>
    <row r="54" ht="10.5">
      <c r="D54" s="134" t="str">
        <f>"Funds Drawn ("&amp;INDEX(LU_Denom,DD_TS_Denom)&amp;")"</f>
        <v>Funds Drawn ($Millions)</v>
      </c>
    </row>
    <row r="56" spans="5:17" ht="10.5">
      <c r="E56" s="67" t="s">
        <v>247</v>
      </c>
      <c r="J56" s="114">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4">
        <v>0</v>
      </c>
      <c r="K57" s="114">
        <v>0</v>
      </c>
      <c r="L57" s="114">
        <v>0</v>
      </c>
      <c r="M57" s="114">
        <v>0</v>
      </c>
      <c r="N57" s="114">
        <v>50</v>
      </c>
      <c r="O57" s="114">
        <v>0</v>
      </c>
      <c r="P57" s="114">
        <v>0</v>
      </c>
      <c r="Q57" s="114">
        <v>0</v>
      </c>
    </row>
    <row r="58" spans="5:17" ht="10.5">
      <c r="E58" s="67" t="s">
        <v>249</v>
      </c>
      <c r="J58" s="114">
        <v>0</v>
      </c>
      <c r="K58" s="114">
        <v>0</v>
      </c>
      <c r="L58" s="114">
        <v>0</v>
      </c>
      <c r="M58" s="114">
        <v>0</v>
      </c>
      <c r="N58" s="114">
        <v>45</v>
      </c>
      <c r="O58" s="114">
        <v>0</v>
      </c>
      <c r="P58" s="114">
        <v>0</v>
      </c>
      <c r="Q58" s="114">
        <v>0</v>
      </c>
    </row>
    <row r="59" spans="5:17" ht="10.5">
      <c r="E59" s="63"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4">
        <v>0</v>
      </c>
    </row>
    <row r="67" spans="5:17" ht="10.5">
      <c r="E67" s="67" t="s">
        <v>254</v>
      </c>
      <c r="J67" s="132">
        <v>0.05</v>
      </c>
      <c r="K67" s="132">
        <v>0.05</v>
      </c>
      <c r="L67" s="132">
        <v>0.05</v>
      </c>
      <c r="M67" s="132">
        <v>0.05</v>
      </c>
      <c r="N67" s="132">
        <v>0.05</v>
      </c>
      <c r="O67" s="132">
        <v>0.05</v>
      </c>
      <c r="P67" s="132">
        <v>0.05</v>
      </c>
      <c r="Q67" s="132">
        <v>0.05</v>
      </c>
    </row>
    <row r="68" spans="5:17" ht="10.5">
      <c r="E68" s="67" t="s">
        <v>255</v>
      </c>
      <c r="J68" s="132">
        <v>0.015</v>
      </c>
      <c r="K68" s="132">
        <v>0.015</v>
      </c>
      <c r="L68" s="132">
        <v>0.015</v>
      </c>
      <c r="M68" s="132">
        <v>0.015</v>
      </c>
      <c r="N68" s="132">
        <v>0.015</v>
      </c>
      <c r="O68" s="132">
        <v>0.015</v>
      </c>
      <c r="P68" s="132">
        <v>0.015</v>
      </c>
      <c r="Q68" s="132">
        <v>0.015</v>
      </c>
    </row>
    <row r="69" spans="5:17" ht="10.5">
      <c r="E69" s="67"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2" t="s">
        <v>418</v>
      </c>
    </row>
    <row r="73" ht="10.5">
      <c r="D73" s="134" t="str">
        <f>"Ordinary Equity Balances"&amp;" ("&amp;INDEX(LU_Denom,DD_TS_Denom)&amp;")"</f>
        <v>Ordinary Equity Balances ($Millions)</v>
      </c>
    </row>
    <row r="75" spans="5:17" ht="10.5">
      <c r="E75" s="67" t="s">
        <v>247</v>
      </c>
      <c r="J75" s="114">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4">
        <v>0</v>
      </c>
      <c r="K76" s="114">
        <v>0</v>
      </c>
      <c r="L76" s="114">
        <v>0</v>
      </c>
      <c r="M76" s="114">
        <v>0</v>
      </c>
      <c r="N76" s="114">
        <v>0</v>
      </c>
      <c r="O76" s="114">
        <v>0</v>
      </c>
      <c r="P76" s="114">
        <v>0</v>
      </c>
      <c r="Q76" s="114">
        <v>0</v>
      </c>
    </row>
    <row r="77" spans="5:17" ht="10.5">
      <c r="E77" s="67" t="s">
        <v>268</v>
      </c>
      <c r="J77" s="114">
        <v>0</v>
      </c>
      <c r="K77" s="114">
        <v>0</v>
      </c>
      <c r="L77" s="114">
        <v>0</v>
      </c>
      <c r="M77" s="114">
        <v>0</v>
      </c>
      <c r="N77" s="114">
        <v>0</v>
      </c>
      <c r="O77" s="114">
        <v>0</v>
      </c>
      <c r="P77" s="114">
        <v>0</v>
      </c>
      <c r="Q77" s="114">
        <v>0</v>
      </c>
    </row>
    <row r="78" spans="5:17" ht="10.5">
      <c r="E78" s="63"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3" t="s">
        <v>270</v>
      </c>
    </row>
    <row r="82" spans="5:10" ht="10.5">
      <c r="E82" s="67" t="s">
        <v>247</v>
      </c>
      <c r="J82" s="114">
        <v>0</v>
      </c>
    </row>
    <row r="84" spans="5:10" ht="15.75" customHeight="1">
      <c r="E84" s="67" t="s">
        <v>271</v>
      </c>
      <c r="J84" s="82">
        <v>1</v>
      </c>
    </row>
    <row r="85" ht="10.5"/>
    <row r="86" spans="5:17" ht="10.5">
      <c r="E86" s="67"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0" t="str">
        <f>"Assumed Dividends "&amp;IF(DD_Eq_Ord_Div_Meth=2,"("&amp;INDEX(LU_Denom,DD_TS_Denom)&amp;")","- Not Applied")</f>
        <v>Assumed Dividends - Not Applied</v>
      </c>
      <c r="J88" s="114">
        <v>0</v>
      </c>
      <c r="K88" s="114">
        <v>0</v>
      </c>
      <c r="L88" s="114">
        <v>0</v>
      </c>
      <c r="M88" s="114">
        <v>0</v>
      </c>
      <c r="N88" s="114">
        <v>0</v>
      </c>
      <c r="O88" s="114">
        <v>0</v>
      </c>
      <c r="P88" s="114">
        <v>0</v>
      </c>
      <c r="Q88" s="114">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8" t="str">
        <f>"Tax Payable ("&amp;INDEX(LU_Denom,DD_TS_Denom)&amp;")"</f>
        <v>Tax Payable ($Millions)</v>
      </c>
    </row>
    <row r="102" spans="4:10" ht="10.5">
      <c r="D102" s="67" t="s">
        <v>1</v>
      </c>
      <c r="J102" s="114">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77" t="s">
        <v>489</v>
      </c>
      <c r="E111" s="277"/>
      <c r="F111" s="277"/>
      <c r="G111" s="277"/>
      <c r="H111" s="277"/>
      <c r="I111" s="277"/>
      <c r="J111" s="277"/>
      <c r="K111" s="277"/>
      <c r="L111" s="170"/>
    </row>
    <row r="112" spans="4:12" ht="10.5">
      <c r="D112" s="277"/>
      <c r="E112" s="277"/>
      <c r="F112" s="277"/>
      <c r="G112" s="277"/>
      <c r="H112" s="277"/>
      <c r="I112" s="277"/>
      <c r="J112" s="277"/>
      <c r="K112" s="277"/>
      <c r="L112" s="170"/>
    </row>
    <row r="115" ht="12.75">
      <c r="B115" s="113" t="s">
        <v>537</v>
      </c>
    </row>
    <row r="117" ht="11.25">
      <c r="C117" s="128" t="str">
        <f>"Cash at Bank ("&amp;INDEX(LU_Denom,DD_TS_Denom)&amp;")"</f>
        <v>Cash at Bank ($Millions)</v>
      </c>
    </row>
    <row r="119" spans="4:10" ht="10.5">
      <c r="D119" s="67" t="s">
        <v>283</v>
      </c>
      <c r="J119" s="114">
        <v>15</v>
      </c>
    </row>
    <row r="121" ht="11.25">
      <c r="C121" s="128" t="str">
        <f>"Other Balance Sheet Items ("&amp;INDEX(LU_Denom,DD_TS_Denom)&amp;")"</f>
        <v>Other Balance Sheet Items ($Millions)</v>
      </c>
    </row>
    <row r="122" ht="11.25" thickBot="1">
      <c r="I122" s="166" t="s">
        <v>471</v>
      </c>
    </row>
    <row r="123" spans="4:17" ht="10.5">
      <c r="D123" s="67" t="s">
        <v>493</v>
      </c>
      <c r="I123" s="66">
        <v>2</v>
      </c>
      <c r="J123" s="114">
        <v>3</v>
      </c>
      <c r="K123" s="114">
        <v>4</v>
      </c>
      <c r="L123" s="114">
        <v>5</v>
      </c>
      <c r="M123" s="114">
        <v>6</v>
      </c>
      <c r="N123" s="114">
        <v>7</v>
      </c>
      <c r="O123" s="114">
        <v>8</v>
      </c>
      <c r="P123" s="114">
        <v>9</v>
      </c>
      <c r="Q123" s="114">
        <v>10</v>
      </c>
    </row>
    <row r="124" spans="4:17" ht="10.5">
      <c r="D124" s="67" t="s">
        <v>494</v>
      </c>
      <c r="I124" s="66">
        <v>3</v>
      </c>
      <c r="J124" s="114">
        <v>4</v>
      </c>
      <c r="K124" s="114">
        <v>5</v>
      </c>
      <c r="L124" s="114">
        <v>6</v>
      </c>
      <c r="M124" s="114">
        <v>7</v>
      </c>
      <c r="N124" s="114">
        <v>8</v>
      </c>
      <c r="O124" s="114">
        <v>9</v>
      </c>
      <c r="P124" s="114">
        <v>10</v>
      </c>
      <c r="Q124" s="114">
        <v>11</v>
      </c>
    </row>
    <row r="125" spans="4:17" ht="10.5">
      <c r="D125" s="67" t="s">
        <v>495</v>
      </c>
      <c r="I125" s="66">
        <v>4</v>
      </c>
      <c r="J125" s="114">
        <v>5</v>
      </c>
      <c r="K125" s="114">
        <v>6</v>
      </c>
      <c r="L125" s="114">
        <v>7</v>
      </c>
      <c r="M125" s="114">
        <v>8</v>
      </c>
      <c r="N125" s="114">
        <v>9</v>
      </c>
      <c r="O125" s="114">
        <v>10</v>
      </c>
      <c r="P125" s="114">
        <v>11</v>
      </c>
      <c r="Q125" s="114">
        <v>12</v>
      </c>
    </row>
    <row r="126" spans="4:17" ht="10.5">
      <c r="D126" s="67" t="s">
        <v>496</v>
      </c>
      <c r="I126" s="66">
        <v>5</v>
      </c>
      <c r="J126" s="114">
        <v>6</v>
      </c>
      <c r="K126" s="114">
        <v>7</v>
      </c>
      <c r="L126" s="114">
        <v>8</v>
      </c>
      <c r="M126" s="114">
        <v>9</v>
      </c>
      <c r="N126" s="114">
        <v>10</v>
      </c>
      <c r="O126" s="114">
        <v>11</v>
      </c>
      <c r="P126" s="114">
        <v>12</v>
      </c>
      <c r="Q126" s="114">
        <v>13</v>
      </c>
    </row>
    <row r="128" ht="10.5">
      <c r="D128" s="63" t="s">
        <v>204</v>
      </c>
    </row>
    <row r="129" spans="4:5" ht="10.5">
      <c r="D129" s="83">
        <v>1</v>
      </c>
      <c r="E129" s="130"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6.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19" t="s">
        <v>413</v>
      </c>
    </row>
    <row r="26" ht="12.75">
      <c r="B26" s="21"/>
    </row>
    <row r="27" ht="11.25">
      <c r="C27" s="125"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8" t="s">
        <v>240</v>
      </c>
      <c r="J31" s="121">
        <f>J33-SUM(J29:J30)</f>
        <v>-135.72602739726028</v>
      </c>
      <c r="K31" s="121">
        <f aca="true" t="shared" si="9" ref="K31:Q31">K33-SUM(K29:K30)</f>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SUM(J30:J31)</f>
        <v>-10.726027397260282</v>
      </c>
      <c r="K32" s="126">
        <f aca="true" t="shared" si="10" ref="K32:Q32">SUM(K30:K31)</f>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10"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0">
        <f>IF(ISERROR(K33/J33),"N/A",ROUND(K33/J33-1,5))</f>
        <v>0.025</v>
      </c>
      <c r="L35" s="180">
        <f aca="true" t="shared" si="12" ref="L35:Q35">IF(ISERROR(L33/K33),"N/A",ROUND(L33/K33-1,5))</f>
        <v>0.0222</v>
      </c>
      <c r="M35" s="180">
        <f t="shared" si="12"/>
        <v>0.02781</v>
      </c>
      <c r="N35" s="180">
        <f t="shared" si="12"/>
        <v>0.025</v>
      </c>
      <c r="O35" s="180">
        <f t="shared" si="12"/>
        <v>0.025</v>
      </c>
      <c r="P35" s="180">
        <f t="shared" si="12"/>
        <v>0.0222</v>
      </c>
      <c r="Q35" s="180">
        <f t="shared" si="12"/>
        <v>0.02781</v>
      </c>
    </row>
    <row r="36" spans="4:17" ht="10.5">
      <c r="D36" s="169" t="s">
        <v>409</v>
      </c>
      <c r="J36" s="115">
        <f>Fcast_TA!J31</f>
        <v>30</v>
      </c>
      <c r="K36" s="115">
        <f>Fcast_TA!K31</f>
        <v>30</v>
      </c>
      <c r="L36" s="115">
        <f>Fcast_TA!L31</f>
        <v>30</v>
      </c>
      <c r="M36" s="115">
        <f>Fcast_TA!M31</f>
        <v>30</v>
      </c>
      <c r="N36" s="115">
        <f>Fcast_TA!N31</f>
        <v>30</v>
      </c>
      <c r="O36" s="115">
        <f>Fcast_TA!O31</f>
        <v>30</v>
      </c>
      <c r="P36" s="115">
        <f>Fcast_TA!P31</f>
        <v>30</v>
      </c>
      <c r="Q36" s="115">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101">
        <f>IF(ISERROR(SUM(J42:Q42)),0,MIN(SUM(J42:Q42),1))</f>
        <v>0</v>
      </c>
      <c r="J42" s="98">
        <f aca="true" t="shared" si="17" ref="J42:Q42">MIN(SUM(J38:J41),1)</f>
        <v>0</v>
      </c>
      <c r="K42" s="98">
        <f t="shared" si="17"/>
        <v>0</v>
      </c>
      <c r="L42" s="98">
        <f t="shared" si="17"/>
        <v>0</v>
      </c>
      <c r="M42" s="98">
        <f t="shared" si="17"/>
        <v>0</v>
      </c>
      <c r="N42" s="98">
        <f t="shared" si="17"/>
        <v>0</v>
      </c>
      <c r="O42" s="98">
        <f t="shared" si="17"/>
        <v>0</v>
      </c>
      <c r="P42" s="98">
        <f t="shared" si="17"/>
        <v>0</v>
      </c>
      <c r="Q42" s="98">
        <f t="shared" si="17"/>
        <v>0</v>
      </c>
    </row>
    <row r="44" ht="11.25">
      <c r="C44" s="125" t="str">
        <f>"Accounts Payable Balances ("&amp;INDEX(LU_Denom,DD_TS_Denom)&amp;")"</f>
        <v>Accounts Payable Balances ($Millions)</v>
      </c>
    </row>
    <row r="45" ht="11.25">
      <c r="C45" s="125"/>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10"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0">
        <f>IF(ISERROR(K50/J50),"N/A",ROUND(K50/J50-1,5))</f>
        <v>0.025</v>
      </c>
      <c r="L52" s="180">
        <f aca="true" t="shared" si="22" ref="L52:Q52">IF(ISERROR(L50/K50),"N/A",ROUND(L50/K50-1,5))</f>
        <v>0.0222</v>
      </c>
      <c r="M52" s="180">
        <f t="shared" si="22"/>
        <v>0.02781</v>
      </c>
      <c r="N52" s="180">
        <f t="shared" si="22"/>
        <v>0.025</v>
      </c>
      <c r="O52" s="180">
        <f t="shared" si="22"/>
        <v>0.025</v>
      </c>
      <c r="P52" s="180">
        <f t="shared" si="22"/>
        <v>0.0222</v>
      </c>
      <c r="Q52" s="180">
        <f t="shared" si="22"/>
        <v>0.02781</v>
      </c>
    </row>
    <row r="53" spans="4:17" ht="10.5">
      <c r="D53" s="169" t="s">
        <v>410</v>
      </c>
      <c r="J53" s="115">
        <f>Fcast_TA!J32</f>
        <v>45</v>
      </c>
      <c r="K53" s="115">
        <f>Fcast_TA!K32</f>
        <v>45</v>
      </c>
      <c r="L53" s="115">
        <f>Fcast_TA!L32</f>
        <v>45</v>
      </c>
      <c r="M53" s="115">
        <f>Fcast_TA!M32</f>
        <v>45</v>
      </c>
      <c r="N53" s="115">
        <f>Fcast_TA!N32</f>
        <v>45</v>
      </c>
      <c r="O53" s="115">
        <f>Fcast_TA!O32</f>
        <v>45</v>
      </c>
      <c r="P53" s="115">
        <f>Fcast_TA!P32</f>
        <v>45</v>
      </c>
      <c r="Q53" s="115">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19" t="s">
        <v>400</v>
      </c>
    </row>
    <row r="64" ht="11.25">
      <c r="C64" s="125"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9"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10"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5"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9"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10"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19"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6"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2"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2"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10" t="s">
        <v>286</v>
      </c>
      <c r="J149" s="100">
        <f>SUM(J147:J148)</f>
        <v>53.48972602739727</v>
      </c>
      <c r="K149" s="100">
        <f aca="true" t="shared" si="58" ref="K149:Q149">SUM(K147:K148)</f>
        <v>66.03946917808219</v>
      </c>
      <c r="L149" s="100">
        <f t="shared" si="58"/>
        <v>78.93788165983605</v>
      </c>
      <c r="M149" s="100">
        <f t="shared" si="58"/>
        <v>92.17405324272262</v>
      </c>
      <c r="N149" s="100">
        <f t="shared" si="58"/>
        <v>110.61371707379068</v>
      </c>
      <c r="O149" s="100">
        <f t="shared" si="58"/>
        <v>124.36499750063545</v>
      </c>
      <c r="P149" s="100">
        <f t="shared" si="58"/>
        <v>138.60676862967972</v>
      </c>
      <c r="Q149" s="100">
        <f t="shared" si="58"/>
        <v>153.22136260848012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19" t="s">
        <v>421</v>
      </c>
    </row>
    <row r="159" spans="2:3" ht="12.75">
      <c r="B159" s="119"/>
      <c r="C159" s="125"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7"/>
      <c r="K168" s="97"/>
      <c r="L168" s="97"/>
      <c r="M168" s="97"/>
      <c r="N168" s="97"/>
      <c r="O168" s="97"/>
      <c r="P168" s="97"/>
      <c r="Q168" s="97"/>
    </row>
    <row r="169" spans="4:17" ht="10.5">
      <c r="D169" s="110"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10"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19" t="s">
        <v>504</v>
      </c>
    </row>
    <row r="185" ht="11.25">
      <c r="C185" s="125"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5"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5"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5"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8.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8">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9.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50.719312928082175</v>
      </c>
      <c r="M20" s="97">
        <f>IF(M$12=1,Fcast_TA!$J$119,L22)</f>
        <v>63.20628400358605</v>
      </c>
      <c r="N20" s="97">
        <f>IF(N$12=1,Fcast_TA!$J$119,M22)</f>
        <v>76.02072814506636</v>
      </c>
      <c r="O20" s="97">
        <f>IF(O$12=1,Fcast_TA!$J$119,N22)</f>
        <v>94.08499634869301</v>
      </c>
      <c r="P20" s="97">
        <f>IF(P$12=1,Fcast_TA!$J$119,O22)</f>
        <v>107.45007438241035</v>
      </c>
      <c r="Q20" s="97">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7">
        <f aca="true" t="shared" si="8" ref="J22:Q22">SUM(J20:J21)</f>
        <v>38.570976027397265</v>
      </c>
      <c r="K22" s="97">
        <f t="shared" si="8"/>
        <v>50.719312928082175</v>
      </c>
      <c r="L22" s="97">
        <f t="shared" si="8"/>
        <v>63.20628400358605</v>
      </c>
      <c r="M22" s="97">
        <f t="shared" si="8"/>
        <v>76.02072814506636</v>
      </c>
      <c r="N22" s="97">
        <f t="shared" si="8"/>
        <v>94.08499634869301</v>
      </c>
      <c r="O22" s="97">
        <f t="shared" si="8"/>
        <v>107.45007438241035</v>
      </c>
      <c r="P22" s="97">
        <f t="shared" si="8"/>
        <v>121.237691183499</v>
      </c>
      <c r="Q22" s="97">
        <f t="shared" si="8"/>
        <v>135.3867769761449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3">
        <v>0</v>
      </c>
      <c r="K31" s="173">
        <v>0</v>
      </c>
      <c r="L31" s="173">
        <v>0</v>
      </c>
      <c r="M31" s="173">
        <v>0</v>
      </c>
      <c r="N31" s="173">
        <v>0</v>
      </c>
      <c r="O31" s="173">
        <v>0</v>
      </c>
      <c r="P31" s="173">
        <v>0</v>
      </c>
      <c r="Q31" s="173">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7"/>
      <c r="K34" s="97"/>
      <c r="L34" s="97"/>
      <c r="M34" s="97"/>
      <c r="N34" s="97"/>
      <c r="O34" s="97"/>
      <c r="P34" s="97"/>
      <c r="Q34" s="97"/>
    </row>
    <row r="35" spans="3:17" ht="11.25">
      <c r="C35" s="96"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3">
        <v>0</v>
      </c>
      <c r="K49" s="173">
        <v>0</v>
      </c>
      <c r="L49" s="173">
        <v>0</v>
      </c>
      <c r="M49" s="173">
        <v>0</v>
      </c>
      <c r="N49" s="173">
        <v>0</v>
      </c>
      <c r="O49" s="173">
        <v>0</v>
      </c>
      <c r="P49" s="173">
        <v>0</v>
      </c>
      <c r="Q49" s="173">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7"/>
      <c r="K52" s="97"/>
      <c r="L52" s="97"/>
      <c r="M52" s="97"/>
      <c r="N52" s="97"/>
      <c r="O52" s="97"/>
      <c r="P52" s="97"/>
      <c r="Q52" s="97"/>
    </row>
    <row r="53" spans="3:17" ht="11.25">
      <c r="C53" s="96"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7"/>
      <c r="K54" s="97"/>
      <c r="L54" s="97"/>
      <c r="M54" s="97"/>
      <c r="N54" s="97"/>
      <c r="O54" s="97"/>
      <c r="P54" s="97"/>
      <c r="Q54" s="97"/>
    </row>
    <row r="55" spans="3:17" ht="12" thickBot="1">
      <c r="C55" s="96"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2">
        <f>-Fcast_TO!J129</f>
        <v>-14.91875</v>
      </c>
      <c r="K64" s="172">
        <f>-Fcast_TO!K129</f>
        <v>-15.32015625</v>
      </c>
      <c r="L64" s="172">
        <f>-Fcast_TO!L129</f>
        <v>-15.731597656250003</v>
      </c>
      <c r="M64" s="172">
        <f>-Fcast_TO!M129</f>
        <v>-16.153325097656253</v>
      </c>
      <c r="N64" s="172">
        <f>-Fcast_TO!N129</f>
        <v>-16.528720725097664</v>
      </c>
      <c r="O64" s="172">
        <f>-Fcast_TO!O129</f>
        <v>-16.9149231182251</v>
      </c>
      <c r="P64" s="172">
        <f>-Fcast_TO!P129</f>
        <v>-17.369077446180725</v>
      </c>
      <c r="Q64" s="172">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7"/>
      <c r="K66" s="97"/>
      <c r="L66" s="97"/>
      <c r="M66" s="97"/>
      <c r="N66" s="97"/>
      <c r="O66" s="97"/>
      <c r="P66" s="97"/>
      <c r="Q66" s="97"/>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1"/>
      <c r="K68" s="171"/>
      <c r="L68" s="171"/>
      <c r="M68" s="171"/>
      <c r="N68" s="171"/>
      <c r="O68" s="171"/>
      <c r="P68" s="171"/>
      <c r="Q68" s="171"/>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101">
        <f>IF(ISERROR(SUM(J71:Q71)),0,MIN(SUM(J71:Q71),1))</f>
        <v>0</v>
      </c>
      <c r="J71" s="98">
        <f aca="true" t="shared" si="22" ref="J71:Q71">MIN(SUM(J69:J70),1)</f>
        <v>0</v>
      </c>
      <c r="K71" s="98">
        <f t="shared" si="22"/>
        <v>0</v>
      </c>
      <c r="L71" s="98">
        <f t="shared" si="22"/>
        <v>0</v>
      </c>
      <c r="M71" s="98">
        <f t="shared" si="22"/>
        <v>0</v>
      </c>
      <c r="N71" s="98">
        <f t="shared" si="22"/>
        <v>0</v>
      </c>
      <c r="O71" s="98">
        <f t="shared" si="22"/>
        <v>0</v>
      </c>
      <c r="P71" s="98">
        <f t="shared" si="22"/>
        <v>0</v>
      </c>
      <c r="Q71" s="98">
        <f t="shared" si="22"/>
        <v>0</v>
      </c>
    </row>
    <row r="72" ht="10.5" hidden="1" outlineLevel="2"/>
    <row r="73" spans="3:17" ht="10.5" collapsed="1">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7"/>
  <sheetViews>
    <sheetView showGridLines="0" zoomScalePageLayoutView="0" workbookViewId="0" topLeftCell="A1">
      <pane xSplit="1" ySplit="6" topLeftCell="B7"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8. Calculation Formulae - Best Practice Model Example</v>
      </c>
    </row>
    <row r="3" spans="2:10" ht="10.5">
      <c r="B3" s="230" t="s">
        <v>51</v>
      </c>
      <c r="C3" s="230"/>
      <c r="D3" s="230"/>
      <c r="E3" s="230"/>
      <c r="F3" s="230"/>
      <c r="G3" s="230"/>
      <c r="H3" s="230"/>
      <c r="I3" s="230"/>
      <c r="J3" s="9"/>
    </row>
    <row r="6" spans="1:17" s="19" customFormat="1" ht="12.75">
      <c r="A6" s="109" t="s">
        <v>52</v>
      </c>
      <c r="B6" s="216" t="s">
        <v>53</v>
      </c>
      <c r="C6" s="16"/>
      <c r="D6" s="16"/>
      <c r="E6" s="16"/>
      <c r="F6" s="16"/>
      <c r="G6" s="16"/>
      <c r="H6" s="16"/>
      <c r="I6" s="16"/>
      <c r="J6" s="16"/>
      <c r="K6" s="16"/>
      <c r="L6" s="16"/>
      <c r="M6" s="16"/>
      <c r="N6" s="16"/>
      <c r="O6" s="16"/>
      <c r="P6" s="16"/>
      <c r="Q6" s="217" t="s">
        <v>595</v>
      </c>
    </row>
    <row r="7" ht="10.5"/>
    <row r="8" spans="2:17" ht="18.75" customHeight="1">
      <c r="B8" s="237">
        <v>1</v>
      </c>
      <c r="C8" s="237"/>
      <c r="D8" s="238" t="str">
        <f>Overview_SC!C9</f>
        <v>Overview</v>
      </c>
      <c r="E8" s="238"/>
      <c r="F8" s="238"/>
      <c r="G8" s="238"/>
      <c r="H8" s="238"/>
      <c r="I8" s="238"/>
      <c r="J8" s="238"/>
      <c r="K8" s="238"/>
      <c r="L8" s="238"/>
      <c r="M8" s="238"/>
      <c r="N8" s="238"/>
      <c r="O8" s="238"/>
      <c r="P8" s="238"/>
      <c r="Q8" s="218">
        <v>4</v>
      </c>
    </row>
    <row r="9" spans="4:17" ht="11.25">
      <c r="D9" s="235" t="s">
        <v>194</v>
      </c>
      <c r="E9" s="235"/>
      <c r="F9" s="236" t="str">
        <f>Notes_SSC!C9</f>
        <v>Notes</v>
      </c>
      <c r="G9" s="236"/>
      <c r="H9" s="236"/>
      <c r="I9" s="236"/>
      <c r="J9" s="236"/>
      <c r="K9" s="236"/>
      <c r="L9" s="236"/>
      <c r="M9" s="236"/>
      <c r="N9" s="236"/>
      <c r="O9" s="236"/>
      <c r="P9" s="236"/>
      <c r="Q9" s="219">
        <v>5</v>
      </c>
    </row>
    <row r="10" spans="6:17" ht="10.5" outlineLevel="1">
      <c r="F10" s="233" t="s">
        <v>195</v>
      </c>
      <c r="G10" s="233"/>
      <c r="H10" s="234" t="str">
        <f>Notes_BO!B1</f>
        <v>Model Notes</v>
      </c>
      <c r="I10" s="234"/>
      <c r="J10" s="234"/>
      <c r="K10" s="234"/>
      <c r="L10" s="234"/>
      <c r="M10" s="234"/>
      <c r="N10" s="234"/>
      <c r="O10" s="234"/>
      <c r="P10" s="234"/>
      <c r="Q10" s="220">
        <v>6</v>
      </c>
    </row>
    <row r="11" spans="6:17" ht="10.5" outlineLevel="1">
      <c r="F11" s="233" t="s">
        <v>196</v>
      </c>
      <c r="G11" s="233"/>
      <c r="H11" s="234" t="str">
        <f>Op_Formula_P_MS!B1</f>
        <v>Operational Forecasts - Formula Schematic</v>
      </c>
      <c r="I11" s="234"/>
      <c r="J11" s="234"/>
      <c r="K11" s="234"/>
      <c r="L11" s="234"/>
      <c r="M11" s="234"/>
      <c r="N11" s="234"/>
      <c r="O11" s="234"/>
      <c r="P11" s="234"/>
      <c r="Q11" s="220">
        <v>7</v>
      </c>
    </row>
    <row r="12" spans="4:17" ht="11.25">
      <c r="D12" s="235" t="s">
        <v>199</v>
      </c>
      <c r="E12" s="235"/>
      <c r="F12" s="236" t="str">
        <f>Keys_SSC!C9</f>
        <v>Keys</v>
      </c>
      <c r="G12" s="236"/>
      <c r="H12" s="236"/>
      <c r="I12" s="236"/>
      <c r="J12" s="236"/>
      <c r="K12" s="236"/>
      <c r="L12" s="236"/>
      <c r="M12" s="236"/>
      <c r="N12" s="236"/>
      <c r="O12" s="236"/>
      <c r="P12" s="236"/>
      <c r="Q12" s="219">
        <v>8</v>
      </c>
    </row>
    <row r="13" spans="6:17" ht="10.5" outlineLevel="1">
      <c r="F13" s="233" t="s">
        <v>195</v>
      </c>
      <c r="G13" s="233"/>
      <c r="H13" s="234" t="str">
        <f>Keys_BO!B1</f>
        <v>Keys</v>
      </c>
      <c r="I13" s="234"/>
      <c r="J13" s="234"/>
      <c r="K13" s="234"/>
      <c r="L13" s="234"/>
      <c r="M13" s="234"/>
      <c r="N13" s="234"/>
      <c r="O13" s="234"/>
      <c r="P13" s="234"/>
      <c r="Q13" s="220">
        <v>9</v>
      </c>
    </row>
    <row r="14" spans="8:17" ht="10.5" outlineLevel="1">
      <c r="H14" s="108" t="s">
        <v>203</v>
      </c>
      <c r="I14" s="232" t="str">
        <f>TOC_Hdg_1</f>
        <v>Formats &amp; Styles Key</v>
      </c>
      <c r="J14" s="232"/>
      <c r="K14" s="232"/>
      <c r="L14" s="232"/>
      <c r="M14" s="232"/>
      <c r="N14" s="232"/>
      <c r="O14" s="232"/>
      <c r="P14" s="232"/>
      <c r="Q14" s="108" t="s">
        <v>203</v>
      </c>
    </row>
    <row r="15" spans="8:17" ht="10.5" outlineLevel="1">
      <c r="H15" s="108" t="s">
        <v>203</v>
      </c>
      <c r="I15" s="232" t="str">
        <f>TOC_Hdg_2</f>
        <v>Sheet Naming Key</v>
      </c>
      <c r="J15" s="232"/>
      <c r="K15" s="232"/>
      <c r="L15" s="232"/>
      <c r="M15" s="232"/>
      <c r="N15" s="232"/>
      <c r="O15" s="232"/>
      <c r="P15" s="232"/>
      <c r="Q15" s="108" t="s">
        <v>203</v>
      </c>
    </row>
    <row r="16" spans="8:17" ht="10.5" outlineLevel="1">
      <c r="H16" s="108" t="s">
        <v>203</v>
      </c>
      <c r="I16" s="232" t="str">
        <f>TOC_Hdg_3</f>
        <v>Range Naming Key</v>
      </c>
      <c r="J16" s="232"/>
      <c r="K16" s="232"/>
      <c r="L16" s="232"/>
      <c r="M16" s="232"/>
      <c r="N16" s="232"/>
      <c r="O16" s="232"/>
      <c r="P16" s="232"/>
      <c r="Q16" s="108" t="s">
        <v>203</v>
      </c>
    </row>
    <row r="17" spans="2:17" ht="18.75" customHeight="1">
      <c r="B17" s="237">
        <v>2</v>
      </c>
      <c r="C17" s="237"/>
      <c r="D17" s="238" t="str">
        <f>Assumptions_SC!C9</f>
        <v>Assumptions</v>
      </c>
      <c r="E17" s="238"/>
      <c r="F17" s="238"/>
      <c r="G17" s="238"/>
      <c r="H17" s="238"/>
      <c r="I17" s="238"/>
      <c r="J17" s="238"/>
      <c r="K17" s="238"/>
      <c r="L17" s="238"/>
      <c r="M17" s="238"/>
      <c r="N17" s="238"/>
      <c r="O17" s="238"/>
      <c r="P17" s="238"/>
      <c r="Q17" s="218">
        <v>12</v>
      </c>
    </row>
    <row r="18" spans="4:17" ht="11.25">
      <c r="D18" s="235" t="s">
        <v>521</v>
      </c>
      <c r="E18" s="235"/>
      <c r="F18" s="236" t="str">
        <f>TS_Ass_SSC!C9</f>
        <v>Time Series Assumptions</v>
      </c>
      <c r="G18" s="236"/>
      <c r="H18" s="236"/>
      <c r="I18" s="236"/>
      <c r="J18" s="236"/>
      <c r="K18" s="236"/>
      <c r="L18" s="236"/>
      <c r="M18" s="236"/>
      <c r="N18" s="236"/>
      <c r="O18" s="236"/>
      <c r="P18" s="236"/>
      <c r="Q18" s="219">
        <v>13</v>
      </c>
    </row>
    <row r="19" spans="6:17" ht="10.5" outlineLevel="1">
      <c r="F19" s="233" t="s">
        <v>195</v>
      </c>
      <c r="G19" s="233"/>
      <c r="H19" s="234" t="str">
        <f>TS_BA!B1</f>
        <v>Time Series Assumptions</v>
      </c>
      <c r="I19" s="234"/>
      <c r="J19" s="234"/>
      <c r="K19" s="234"/>
      <c r="L19" s="234"/>
      <c r="M19" s="234"/>
      <c r="N19" s="234"/>
      <c r="O19" s="234"/>
      <c r="P19" s="234"/>
      <c r="Q19" s="220">
        <v>14</v>
      </c>
    </row>
    <row r="20" spans="4:17" ht="11.25">
      <c r="D20" s="235" t="s">
        <v>523</v>
      </c>
      <c r="E20" s="235"/>
      <c r="F20" s="236" t="str">
        <f>Fcast_Ass_SSC!C9</f>
        <v>Forecast Assumptions</v>
      </c>
      <c r="G20" s="236"/>
      <c r="H20" s="236"/>
      <c r="I20" s="236"/>
      <c r="J20" s="236"/>
      <c r="K20" s="236"/>
      <c r="L20" s="236"/>
      <c r="M20" s="236"/>
      <c r="N20" s="236"/>
      <c r="O20" s="236"/>
      <c r="P20" s="236"/>
      <c r="Q20" s="219">
        <v>15</v>
      </c>
    </row>
    <row r="21" spans="6:17" ht="10.5" outlineLevel="1">
      <c r="F21" s="233" t="s">
        <v>195</v>
      </c>
      <c r="G21" s="233"/>
      <c r="H21" s="234" t="str">
        <f>Fcast_TA!B1</f>
        <v>Assumptions</v>
      </c>
      <c r="I21" s="234"/>
      <c r="J21" s="234"/>
      <c r="K21" s="234"/>
      <c r="L21" s="234"/>
      <c r="M21" s="234"/>
      <c r="N21" s="234"/>
      <c r="O21" s="234"/>
      <c r="P21" s="234"/>
      <c r="Q21" s="220">
        <v>16</v>
      </c>
    </row>
    <row r="22" spans="8:17" ht="10.5" outlineLevel="1">
      <c r="H22" s="108" t="s">
        <v>203</v>
      </c>
      <c r="I22" s="232" t="str">
        <f>TOC_Hdg_5</f>
        <v>Operational - Assumptions</v>
      </c>
      <c r="J22" s="232"/>
      <c r="K22" s="232"/>
      <c r="L22" s="232"/>
      <c r="M22" s="232"/>
      <c r="N22" s="232"/>
      <c r="O22" s="232"/>
      <c r="P22" s="232"/>
      <c r="Q22" s="108" t="s">
        <v>203</v>
      </c>
    </row>
    <row r="23" spans="8:17" ht="10.5" outlineLevel="1">
      <c r="H23" s="108" t="s">
        <v>203</v>
      </c>
      <c r="I23" s="232" t="str">
        <f>TOC_Hdg_9</f>
        <v>Working Capital - Assumptions</v>
      </c>
      <c r="J23" s="232"/>
      <c r="K23" s="232"/>
      <c r="L23" s="232"/>
      <c r="M23" s="232"/>
      <c r="N23" s="232"/>
      <c r="O23" s="232"/>
      <c r="P23" s="232"/>
      <c r="Q23" s="108" t="s">
        <v>203</v>
      </c>
    </row>
    <row r="24" spans="8:17" ht="10.5" outlineLevel="1">
      <c r="H24" s="108" t="s">
        <v>203</v>
      </c>
      <c r="I24" s="232" t="str">
        <f>TOC_Hdg_10</f>
        <v>Assets - Assumptions</v>
      </c>
      <c r="J24" s="232"/>
      <c r="K24" s="232"/>
      <c r="L24" s="232"/>
      <c r="M24" s="232"/>
      <c r="N24" s="232"/>
      <c r="O24" s="232"/>
      <c r="P24" s="232"/>
      <c r="Q24" s="108" t="s">
        <v>203</v>
      </c>
    </row>
    <row r="25" spans="8:17" ht="10.5" outlineLevel="1">
      <c r="H25" s="108" t="s">
        <v>203</v>
      </c>
      <c r="I25" s="232" t="str">
        <f>TOC_Hdg_11</f>
        <v>Capital - Assumptions</v>
      </c>
      <c r="J25" s="232"/>
      <c r="K25" s="232"/>
      <c r="L25" s="232"/>
      <c r="M25" s="232"/>
      <c r="N25" s="232"/>
      <c r="O25" s="232"/>
      <c r="P25" s="232"/>
      <c r="Q25" s="108" t="s">
        <v>203</v>
      </c>
    </row>
    <row r="26" spans="8:17" ht="10.5" outlineLevel="1">
      <c r="H26" s="108" t="s">
        <v>203</v>
      </c>
      <c r="I26" s="232" t="str">
        <f>TOC_Hdg_12</f>
        <v>Taxation - Assumptions</v>
      </c>
      <c r="J26" s="232"/>
      <c r="K26" s="232"/>
      <c r="L26" s="232"/>
      <c r="M26" s="232"/>
      <c r="N26" s="232"/>
      <c r="O26" s="232"/>
      <c r="P26" s="232"/>
      <c r="Q26" s="108" t="s">
        <v>203</v>
      </c>
    </row>
    <row r="27" spans="8:17" ht="10.5" outlineLevel="1">
      <c r="H27" s="108" t="s">
        <v>203</v>
      </c>
      <c r="I27" s="232" t="str">
        <f>TOC_Hdg_13</f>
        <v>Other Balance Sheet Items - Assumptions</v>
      </c>
      <c r="J27" s="232"/>
      <c r="K27" s="232"/>
      <c r="L27" s="232"/>
      <c r="M27" s="232"/>
      <c r="N27" s="232"/>
      <c r="O27" s="232"/>
      <c r="P27" s="232"/>
      <c r="Q27" s="108" t="s">
        <v>203</v>
      </c>
    </row>
    <row r="28" spans="2:17" ht="18.75" customHeight="1">
      <c r="B28" s="237">
        <v>3</v>
      </c>
      <c r="C28" s="237"/>
      <c r="D28" s="238" t="str">
        <f>Base_OP_SC!C9</f>
        <v>Outputs</v>
      </c>
      <c r="E28" s="238"/>
      <c r="F28" s="238"/>
      <c r="G28" s="238"/>
      <c r="H28" s="238"/>
      <c r="I28" s="238"/>
      <c r="J28" s="238"/>
      <c r="K28" s="238"/>
      <c r="L28" s="238"/>
      <c r="M28" s="238"/>
      <c r="N28" s="238"/>
      <c r="O28" s="238"/>
      <c r="P28" s="238"/>
      <c r="Q28" s="218">
        <v>21</v>
      </c>
    </row>
    <row r="29" spans="4:17" ht="11.25">
      <c r="D29" s="235" t="s">
        <v>525</v>
      </c>
      <c r="E29" s="235"/>
      <c r="F29" s="236" t="str">
        <f>Fcast_OP_SSC!C9</f>
        <v>Forecast Outputs</v>
      </c>
      <c r="G29" s="236"/>
      <c r="H29" s="236"/>
      <c r="I29" s="236"/>
      <c r="J29" s="236"/>
      <c r="K29" s="236"/>
      <c r="L29" s="236"/>
      <c r="M29" s="236"/>
      <c r="N29" s="236"/>
      <c r="O29" s="236"/>
      <c r="P29" s="236"/>
      <c r="Q29" s="219">
        <v>22</v>
      </c>
    </row>
    <row r="30" spans="6:17" ht="10.5" outlineLevel="1">
      <c r="F30" s="233" t="s">
        <v>195</v>
      </c>
      <c r="G30" s="233"/>
      <c r="H30" s="234" t="str">
        <f>Fcast_TO!B1</f>
        <v>Outputs</v>
      </c>
      <c r="I30" s="234"/>
      <c r="J30" s="234"/>
      <c r="K30" s="234"/>
      <c r="L30" s="234"/>
      <c r="M30" s="234"/>
      <c r="N30" s="234"/>
      <c r="O30" s="234"/>
      <c r="P30" s="234"/>
      <c r="Q30" s="220">
        <v>23</v>
      </c>
    </row>
    <row r="31" spans="8:17" ht="10.5" outlineLevel="1">
      <c r="H31" s="108" t="s">
        <v>203</v>
      </c>
      <c r="I31" s="232" t="str">
        <f>TOC_Hdg_21</f>
        <v>Operational - Outputs</v>
      </c>
      <c r="J31" s="232"/>
      <c r="K31" s="232"/>
      <c r="L31" s="232"/>
      <c r="M31" s="232"/>
      <c r="N31" s="232"/>
      <c r="O31" s="232"/>
      <c r="P31" s="232"/>
      <c r="Q31" s="108" t="s">
        <v>203</v>
      </c>
    </row>
    <row r="32" spans="8:17" ht="10.5" outlineLevel="1">
      <c r="H32" s="108" t="s">
        <v>203</v>
      </c>
      <c r="I32" s="232" t="str">
        <f>TOC_Hdg_24</f>
        <v>Working Capital - Outputs</v>
      </c>
      <c r="J32" s="232"/>
      <c r="K32" s="232"/>
      <c r="L32" s="232"/>
      <c r="M32" s="232"/>
      <c r="N32" s="232"/>
      <c r="O32" s="232"/>
      <c r="P32" s="232"/>
      <c r="Q32" s="108" t="s">
        <v>203</v>
      </c>
    </row>
    <row r="33" spans="8:17" ht="10.5" outlineLevel="1">
      <c r="H33" s="108" t="s">
        <v>203</v>
      </c>
      <c r="I33" s="232" t="str">
        <f>TOC_Hdg_17</f>
        <v>Assets - Outputs</v>
      </c>
      <c r="J33" s="232"/>
      <c r="K33" s="232"/>
      <c r="L33" s="232"/>
      <c r="M33" s="232"/>
      <c r="N33" s="232"/>
      <c r="O33" s="232"/>
      <c r="P33" s="232"/>
      <c r="Q33" s="108" t="s">
        <v>203</v>
      </c>
    </row>
    <row r="34" spans="8:17" ht="10.5" outlineLevel="1">
      <c r="H34" s="108" t="s">
        <v>203</v>
      </c>
      <c r="I34" s="232" t="str">
        <f>TOC_Hdg_15</f>
        <v>Capital - Outputs</v>
      </c>
      <c r="J34" s="232"/>
      <c r="K34" s="232"/>
      <c r="L34" s="232"/>
      <c r="M34" s="232"/>
      <c r="N34" s="232"/>
      <c r="O34" s="232"/>
      <c r="P34" s="232"/>
      <c r="Q34" s="108" t="s">
        <v>203</v>
      </c>
    </row>
    <row r="35" spans="8:17" ht="10.5" outlineLevel="1">
      <c r="H35" s="108" t="s">
        <v>203</v>
      </c>
      <c r="I35" s="232" t="str">
        <f>TOC_Hdg_32</f>
        <v>Taxation - Output Summary</v>
      </c>
      <c r="J35" s="232"/>
      <c r="K35" s="232"/>
      <c r="L35" s="232"/>
      <c r="M35" s="232"/>
      <c r="N35" s="232"/>
      <c r="O35" s="232"/>
      <c r="P35" s="232"/>
      <c r="Q35" s="108" t="s">
        <v>203</v>
      </c>
    </row>
    <row r="36" spans="8:17" ht="10.5" outlineLevel="1">
      <c r="H36" s="108" t="s">
        <v>203</v>
      </c>
      <c r="I36" s="232" t="str">
        <f>TOC_Hdg_16</f>
        <v>Other Balance Sheet Items - Outputs</v>
      </c>
      <c r="J36" s="232"/>
      <c r="K36" s="232"/>
      <c r="L36" s="232"/>
      <c r="M36" s="232"/>
      <c r="N36" s="232"/>
      <c r="O36" s="232"/>
      <c r="P36" s="232"/>
      <c r="Q36" s="108" t="s">
        <v>203</v>
      </c>
    </row>
    <row r="37" spans="4:17" ht="11.25">
      <c r="D37" s="235" t="s">
        <v>527</v>
      </c>
      <c r="E37" s="235"/>
      <c r="F37" s="236" t="str">
        <f>FS_OP_SSC!C9</f>
        <v>Financial Statements</v>
      </c>
      <c r="G37" s="236"/>
      <c r="H37" s="236"/>
      <c r="I37" s="236"/>
      <c r="J37" s="236"/>
      <c r="K37" s="236"/>
      <c r="L37" s="236"/>
      <c r="M37" s="236"/>
      <c r="N37" s="236"/>
      <c r="O37" s="236"/>
      <c r="P37" s="236"/>
      <c r="Q37" s="219">
        <v>31</v>
      </c>
    </row>
    <row r="38" spans="6:17" ht="10.5" outlineLevel="1">
      <c r="F38" s="233" t="s">
        <v>195</v>
      </c>
      <c r="G38" s="233"/>
      <c r="H38" s="234" t="str">
        <f>IS_TO!B1</f>
        <v>Income Statement</v>
      </c>
      <c r="I38" s="234"/>
      <c r="J38" s="234"/>
      <c r="K38" s="234"/>
      <c r="L38" s="234"/>
      <c r="M38" s="234"/>
      <c r="N38" s="234"/>
      <c r="O38" s="234"/>
      <c r="P38" s="234"/>
      <c r="Q38" s="220">
        <v>32</v>
      </c>
    </row>
    <row r="39" spans="6:17" ht="10.5" outlineLevel="1">
      <c r="F39" s="233" t="s">
        <v>196</v>
      </c>
      <c r="G39" s="233"/>
      <c r="H39" s="234" t="str">
        <f>BS_TO!B1</f>
        <v>Balance Sheet</v>
      </c>
      <c r="I39" s="234"/>
      <c r="J39" s="234"/>
      <c r="K39" s="234"/>
      <c r="L39" s="234"/>
      <c r="M39" s="234"/>
      <c r="N39" s="234"/>
      <c r="O39" s="234"/>
      <c r="P39" s="234"/>
      <c r="Q39" s="220">
        <v>33</v>
      </c>
    </row>
    <row r="40" spans="6:17" ht="10.5" outlineLevel="1">
      <c r="F40" s="233" t="s">
        <v>197</v>
      </c>
      <c r="G40" s="233"/>
      <c r="H40" s="234" t="str">
        <f>CFS_TO!B1</f>
        <v>Cash Flow Statement</v>
      </c>
      <c r="I40" s="234"/>
      <c r="J40" s="234"/>
      <c r="K40" s="234"/>
      <c r="L40" s="234"/>
      <c r="M40" s="234"/>
      <c r="N40" s="234"/>
      <c r="O40" s="234"/>
      <c r="P40" s="234"/>
      <c r="Q40" s="220">
        <v>35</v>
      </c>
    </row>
    <row r="41" spans="8:17" ht="10.5" outlineLevel="1">
      <c r="H41" s="108" t="s">
        <v>203</v>
      </c>
      <c r="I41" s="232" t="str">
        <f>TOC_Hdg_35</f>
        <v>Direct Cash Flow Statement</v>
      </c>
      <c r="J41" s="232"/>
      <c r="K41" s="232"/>
      <c r="L41" s="232"/>
      <c r="M41" s="232"/>
      <c r="N41" s="232"/>
      <c r="O41" s="232"/>
      <c r="P41" s="232"/>
      <c r="Q41" s="108" t="s">
        <v>203</v>
      </c>
    </row>
    <row r="42" spans="8:17" ht="10.5" outlineLevel="1">
      <c r="H42" s="108" t="s">
        <v>203</v>
      </c>
      <c r="I42" s="232" t="str">
        <f>TOC_Hdg_36</f>
        <v>Indirect Cash Flow Statement</v>
      </c>
      <c r="J42" s="232"/>
      <c r="K42" s="232"/>
      <c r="L42" s="232"/>
      <c r="M42" s="232"/>
      <c r="N42" s="232"/>
      <c r="O42" s="232"/>
      <c r="P42" s="232"/>
      <c r="Q42" s="108" t="s">
        <v>203</v>
      </c>
    </row>
    <row r="43" spans="8:17" ht="10.5" outlineLevel="1">
      <c r="H43" s="108" t="s">
        <v>203</v>
      </c>
      <c r="I43" s="232" t="str">
        <f>TOC_Hdg_14</f>
        <v>Capital Providers - Cash Flow Reconciliation</v>
      </c>
      <c r="J43" s="232"/>
      <c r="K43" s="232"/>
      <c r="L43" s="232"/>
      <c r="M43" s="232"/>
      <c r="N43" s="232"/>
      <c r="O43" s="232"/>
      <c r="P43" s="232"/>
      <c r="Q43" s="108" t="s">
        <v>203</v>
      </c>
    </row>
    <row r="44" spans="4:17" ht="11.25">
      <c r="D44" s="235" t="s">
        <v>529</v>
      </c>
      <c r="E44" s="235"/>
      <c r="F44" s="236" t="str">
        <f>Dashboards_SSC!C9</f>
        <v>Dashboard Outputs</v>
      </c>
      <c r="G44" s="236"/>
      <c r="H44" s="236"/>
      <c r="I44" s="236"/>
      <c r="J44" s="236"/>
      <c r="K44" s="236"/>
      <c r="L44" s="236"/>
      <c r="M44" s="236"/>
      <c r="N44" s="236"/>
      <c r="O44" s="236"/>
      <c r="P44" s="236"/>
      <c r="Q44" s="219">
        <v>38</v>
      </c>
    </row>
    <row r="45" spans="6:17" ht="10.5" outlineLevel="1">
      <c r="F45" s="233" t="s">
        <v>195</v>
      </c>
      <c r="G45" s="233"/>
      <c r="H45" s="234" t="str">
        <f>BS_Sum_P_MS!B1</f>
        <v>Business Planning Summary</v>
      </c>
      <c r="I45" s="234"/>
      <c r="J45" s="234"/>
      <c r="K45" s="234"/>
      <c r="L45" s="234"/>
      <c r="M45" s="234"/>
      <c r="N45" s="234"/>
      <c r="O45" s="234"/>
      <c r="P45" s="234"/>
      <c r="Q45" s="220">
        <v>39</v>
      </c>
    </row>
    <row r="46" spans="2:17" ht="18.75" customHeight="1">
      <c r="B46" s="237">
        <v>4</v>
      </c>
      <c r="C46" s="237"/>
      <c r="D46" s="238" t="str">
        <f>Appendices_SC!C9</f>
        <v>Appendices</v>
      </c>
      <c r="E46" s="238"/>
      <c r="F46" s="238"/>
      <c r="G46" s="238"/>
      <c r="H46" s="238"/>
      <c r="I46" s="238"/>
      <c r="J46" s="238"/>
      <c r="K46" s="238"/>
      <c r="L46" s="238"/>
      <c r="M46" s="238"/>
      <c r="N46" s="238"/>
      <c r="O46" s="238"/>
      <c r="P46" s="238"/>
      <c r="Q46" s="218">
        <v>40</v>
      </c>
    </row>
    <row r="47" spans="4:17" ht="11.25">
      <c r="D47" s="235" t="s">
        <v>531</v>
      </c>
      <c r="E47" s="235"/>
      <c r="F47" s="236" t="str">
        <f>Checks_SSC!C9</f>
        <v>Checks</v>
      </c>
      <c r="G47" s="236"/>
      <c r="H47" s="236"/>
      <c r="I47" s="236"/>
      <c r="J47" s="236"/>
      <c r="K47" s="236"/>
      <c r="L47" s="236"/>
      <c r="M47" s="236"/>
      <c r="N47" s="236"/>
      <c r="O47" s="236"/>
      <c r="P47" s="236"/>
      <c r="Q47" s="219">
        <v>41</v>
      </c>
    </row>
    <row r="48" spans="6:17" ht="10.5" outlineLevel="1">
      <c r="F48" s="233" t="s">
        <v>195</v>
      </c>
      <c r="G48" s="233"/>
      <c r="H48" s="234" t="str">
        <f>Checks_BO!B1</f>
        <v>Checks</v>
      </c>
      <c r="I48" s="234"/>
      <c r="J48" s="234"/>
      <c r="K48" s="234"/>
      <c r="L48" s="234"/>
      <c r="M48" s="234"/>
      <c r="N48" s="234"/>
      <c r="O48" s="234"/>
      <c r="P48" s="234"/>
      <c r="Q48" s="220">
        <v>42</v>
      </c>
    </row>
    <row r="49" spans="8:17" ht="10.5" outlineLevel="1">
      <c r="H49" s="108" t="s">
        <v>203</v>
      </c>
      <c r="I49" s="232" t="str">
        <f>TOC_Hdg_6</f>
        <v>Error Checks</v>
      </c>
      <c r="J49" s="232"/>
      <c r="K49" s="232"/>
      <c r="L49" s="232"/>
      <c r="M49" s="232"/>
      <c r="N49" s="232"/>
      <c r="O49" s="232"/>
      <c r="P49" s="232"/>
      <c r="Q49" s="108" t="s">
        <v>203</v>
      </c>
    </row>
    <row r="50" spans="8:17" ht="10.5" outlineLevel="1">
      <c r="H50" s="108" t="s">
        <v>203</v>
      </c>
      <c r="I50" s="232" t="str">
        <f>TOC_Hdg_7</f>
        <v>Sensitivity Checks</v>
      </c>
      <c r="J50" s="232"/>
      <c r="K50" s="232"/>
      <c r="L50" s="232"/>
      <c r="M50" s="232"/>
      <c r="N50" s="232"/>
      <c r="O50" s="232"/>
      <c r="P50" s="232"/>
      <c r="Q50" s="108" t="s">
        <v>203</v>
      </c>
    </row>
    <row r="51" spans="8:17" ht="10.5" outlineLevel="1">
      <c r="H51" s="108" t="s">
        <v>203</v>
      </c>
      <c r="I51" s="232" t="str">
        <f>TOC_Hdg_8</f>
        <v>Alert Checks</v>
      </c>
      <c r="J51" s="232"/>
      <c r="K51" s="232"/>
      <c r="L51" s="232"/>
      <c r="M51" s="232"/>
      <c r="N51" s="232"/>
      <c r="O51" s="232"/>
      <c r="P51" s="232"/>
      <c r="Q51" s="108" t="s">
        <v>203</v>
      </c>
    </row>
    <row r="52" spans="4:17" ht="11.25">
      <c r="D52" s="235" t="s">
        <v>533</v>
      </c>
      <c r="E52" s="235"/>
      <c r="F52" s="236" t="str">
        <f>LU_SSC!C9</f>
        <v>Lookup Tables</v>
      </c>
      <c r="G52" s="236"/>
      <c r="H52" s="236"/>
      <c r="I52" s="236"/>
      <c r="J52" s="236"/>
      <c r="K52" s="236"/>
      <c r="L52" s="236"/>
      <c r="M52" s="236"/>
      <c r="N52" s="236"/>
      <c r="O52" s="236"/>
      <c r="P52" s="236"/>
      <c r="Q52" s="219">
        <v>45</v>
      </c>
    </row>
    <row r="53" spans="6:17" ht="10.5" outlineLevel="1">
      <c r="F53" s="233" t="s">
        <v>195</v>
      </c>
      <c r="G53" s="233"/>
      <c r="H53" s="234" t="str">
        <f>TS_LU!B1</f>
        <v>Time Series Lookup Tables</v>
      </c>
      <c r="I53" s="234"/>
      <c r="J53" s="234"/>
      <c r="K53" s="234"/>
      <c r="L53" s="234"/>
      <c r="M53" s="234"/>
      <c r="N53" s="234"/>
      <c r="O53" s="234"/>
      <c r="P53" s="234"/>
      <c r="Q53" s="220">
        <v>46</v>
      </c>
    </row>
    <row r="54" spans="6:17" ht="10.5" outlineLevel="1">
      <c r="F54" s="233" t="s">
        <v>196</v>
      </c>
      <c r="G54" s="233"/>
      <c r="H54" s="234" t="str">
        <f>Capital_LU!B1</f>
        <v>Capital - Lookup Tables</v>
      </c>
      <c r="I54" s="234"/>
      <c r="J54" s="234"/>
      <c r="K54" s="234"/>
      <c r="L54" s="234"/>
      <c r="M54" s="234"/>
      <c r="N54" s="234"/>
      <c r="O54" s="234"/>
      <c r="P54" s="234"/>
      <c r="Q54" s="220">
        <v>49</v>
      </c>
    </row>
    <row r="55" spans="6:17" ht="10.5" outlineLevel="1">
      <c r="F55" s="233" t="s">
        <v>197</v>
      </c>
      <c r="G55" s="233"/>
      <c r="H55" s="234" t="str">
        <f>Dashboards_LU!B1</f>
        <v>Dashboards - Lookup Tables</v>
      </c>
      <c r="I55" s="234"/>
      <c r="J55" s="234"/>
      <c r="K55" s="234"/>
      <c r="L55" s="234"/>
      <c r="M55" s="234"/>
      <c r="N55" s="234"/>
      <c r="O55" s="234"/>
      <c r="P55" s="234"/>
      <c r="Q55" s="220">
        <v>50</v>
      </c>
    </row>
    <row r="57" spans="2:17" ht="16.5" customHeight="1">
      <c r="B57" s="31" t="s">
        <v>596</v>
      </c>
      <c r="Q57" s="221">
        <v>50</v>
      </c>
    </row>
  </sheetData>
  <sheetProtection/>
  <mergeCells count="76">
    <mergeCell ref="F13:G13"/>
    <mergeCell ref="H13:P13"/>
    <mergeCell ref="B3:I3"/>
    <mergeCell ref="I24:P24"/>
    <mergeCell ref="I22:P22"/>
    <mergeCell ref="I23:P23"/>
    <mergeCell ref="B8:C8"/>
    <mergeCell ref="D8:P8"/>
    <mergeCell ref="D9:E9"/>
    <mergeCell ref="F9:P9"/>
    <mergeCell ref="F10:G10"/>
    <mergeCell ref="H10:P10"/>
    <mergeCell ref="F11:G11"/>
    <mergeCell ref="H11:P11"/>
    <mergeCell ref="D12:E12"/>
    <mergeCell ref="F12:P12"/>
    <mergeCell ref="I15:P15"/>
    <mergeCell ref="I41:P41"/>
    <mergeCell ref="I25:P25"/>
    <mergeCell ref="I26:P26"/>
    <mergeCell ref="I14:P14"/>
    <mergeCell ref="I36:P36"/>
    <mergeCell ref="I33:P33"/>
    <mergeCell ref="I34:P34"/>
    <mergeCell ref="I31:P31"/>
    <mergeCell ref="I32:P32"/>
    <mergeCell ref="I35:P35"/>
    <mergeCell ref="I27:P27"/>
    <mergeCell ref="I16:P16"/>
    <mergeCell ref="D37:E37"/>
    <mergeCell ref="F37:P37"/>
    <mergeCell ref="F40:G40"/>
    <mergeCell ref="H40:P40"/>
    <mergeCell ref="F30:G30"/>
    <mergeCell ref="H30:P30"/>
    <mergeCell ref="D29:E29"/>
    <mergeCell ref="F29:P29"/>
    <mergeCell ref="F19:G19"/>
    <mergeCell ref="I42:P42"/>
    <mergeCell ref="F38:G38"/>
    <mergeCell ref="H38:P38"/>
    <mergeCell ref="F39:G39"/>
    <mergeCell ref="H39:P39"/>
    <mergeCell ref="B17:C17"/>
    <mergeCell ref="D17:P17"/>
    <mergeCell ref="D18:E18"/>
    <mergeCell ref="F18:P18"/>
    <mergeCell ref="H19:P19"/>
    <mergeCell ref="D20:E20"/>
    <mergeCell ref="F20:P20"/>
    <mergeCell ref="F21:G21"/>
    <mergeCell ref="H21:P21"/>
    <mergeCell ref="B28:C28"/>
    <mergeCell ref="D28:P28"/>
    <mergeCell ref="I50:P50"/>
    <mergeCell ref="I43:P43"/>
    <mergeCell ref="D44:E44"/>
    <mergeCell ref="F44:P44"/>
    <mergeCell ref="F45:G45"/>
    <mergeCell ref="H45:P45"/>
    <mergeCell ref="B46:C46"/>
    <mergeCell ref="D46:P46"/>
    <mergeCell ref="D52:E52"/>
    <mergeCell ref="F52:P52"/>
    <mergeCell ref="F55:G55"/>
    <mergeCell ref="H55:P55"/>
    <mergeCell ref="D47:E47"/>
    <mergeCell ref="F47:P47"/>
    <mergeCell ref="F48:G48"/>
    <mergeCell ref="H48:P48"/>
    <mergeCell ref="I49:P49"/>
    <mergeCell ref="I51:P51"/>
    <mergeCell ref="F54:G54"/>
    <mergeCell ref="H54:P54"/>
    <mergeCell ref="F53:G53"/>
    <mergeCell ref="H53:P53"/>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F11" location="HL_Sheet_Main_8" tooltip="Go to Operational Forecasts - Formula Schematic" display="HL_Sheet_Main_8"/>
    <hyperlink ref="H11" location="HL_Sheet_Main_8" tooltip="Go to Operational Forecasts - Formula Schematic" display="HL_Sheet_Main_8"/>
    <hyperlink ref="Q11" location="HL_Sheet_Main_8" tooltip="Go to Operational Forecasts - Formula Schematic" display="HL_Sheet_Main_8"/>
    <hyperlink ref="D12" location="HL_Sheet_Main_6" tooltip="Go to Keys" display="HL_Sheet_Main_6"/>
    <hyperlink ref="F12" location="HL_Sheet_Main_6" tooltip="Go to Keys" display="HL_Sheet_Main_6"/>
    <hyperlink ref="Q12" location="HL_Sheet_Main_6" tooltip="Go to Keys" display="HL_Sheet_Main_6"/>
    <hyperlink ref="F13" location="HL_Sheet_Main_7" tooltip="Go to Keys" display="HL_Sheet_Main_7"/>
    <hyperlink ref="H13" location="HL_Sheet_Main_7" tooltip="Go to Keys" display="HL_Sheet_Main_7"/>
    <hyperlink ref="Q13" location="HL_Sheet_Main_7" tooltip="Go to Keys" display="HL_Sheet_Main_7"/>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Sheet_Main_10" tooltip="Go to Time Series Assumptions" display="HL_Sheet_Main_10"/>
    <hyperlink ref="H19" location="HL_Sheet_Main_10" tooltip="Go to Time Series Assumptions" display="HL_Sheet_Main_10"/>
    <hyperlink ref="Q19" location="HL_Sheet_Main_10" tooltip="Go to Time Series Assumptions" display="HL_Sheet_Main_10"/>
    <hyperlink ref="D20" location="HL_Sheet_Main_5" tooltip="Go to Forecast Assumptions" display="HL_Sheet_Main_5"/>
    <hyperlink ref="F20" location="HL_Sheet_Main_5" tooltip="Go to Forecast Assumptions" display="HL_Sheet_Main_5"/>
    <hyperlink ref="Q20" location="HL_Sheet_Main_5" tooltip="Go to Forecast Assumptions" display="HL_Sheet_Main_5"/>
    <hyperlink ref="F21" location="HL_Sheet_Main_12" tooltip="Go to Assumptions" display="HL_Sheet_Main_12"/>
    <hyperlink ref="H21" location="HL_Sheet_Main_12" tooltip="Go to Assumptions" display="HL_Sheet_Main_12"/>
    <hyperlink ref="Q21" location="HL_Sheet_Main_12" tooltip="Go to Assumptions" display="HL_Sheet_Main_12"/>
    <hyperlink ref="H22" location="HL_TOC_5" tooltip="Go to Operational - Assumptions" display="HL_TOC_5"/>
    <hyperlink ref="I22" location="HL_TOC_5" tooltip="Go to Operational - Assumptions" display="HL_TOC_5"/>
    <hyperlink ref="Q22" location="HL_TOC_5" tooltip="Go to Operational - Assumptions" display="HL_TOC_5"/>
    <hyperlink ref="H23" location="HL_TOC_9" tooltip="Go to Working Capital - Assumptions" display="HL_TOC_9"/>
    <hyperlink ref="I23" location="HL_TOC_9" tooltip="Go to Working Capital - Assumptions" display="HL_TOC_9"/>
    <hyperlink ref="Q23" location="HL_TOC_9" tooltip="Go to Working Capital - Assumptions" display="HL_TOC_9"/>
    <hyperlink ref="H24" location="HL_TOC_10" tooltip="Go to Assets - Assumptions" display="HL_TOC_10"/>
    <hyperlink ref="I24" location="HL_TOC_10" tooltip="Go to Assets - Assumptions" display="HL_TOC_10"/>
    <hyperlink ref="Q24" location="HL_TOC_10" tooltip="Go to Assets - Assumptions" display="HL_TOC_10"/>
    <hyperlink ref="H25" location="HL_TOC_11" tooltip="Go to Capital - Assumptions" display="HL_TOC_11"/>
    <hyperlink ref="I25" location="HL_TOC_11" tooltip="Go to Capital - Assumptions" display="HL_TOC_11"/>
    <hyperlink ref="Q25" location="HL_TOC_11" tooltip="Go to Capital - Assumptions" display="HL_TOC_11"/>
    <hyperlink ref="H26" location="HL_TOC_12" tooltip="Go to Taxation - Assumptions" display="HL_TOC_12"/>
    <hyperlink ref="I26" location="HL_TOC_12" tooltip="Go to Taxation - Assumptions" display="HL_TOC_12"/>
    <hyperlink ref="Q26" location="HL_TOC_12" tooltip="Go to Taxation - Assumptions" display="HL_TOC_12"/>
    <hyperlink ref="H27" location="HL_TOC_13" tooltip="Go to Other Balance Sheet Items - Assumptions" display="HL_TOC_13"/>
    <hyperlink ref="I27" location="HL_TOC_13" tooltip="Go to Other Balance Sheet Items - Assumptions" display="HL_TOC_13"/>
    <hyperlink ref="Q27" location="HL_TOC_13" tooltip="Go to Other Balance Sheet Items - Assumptions" display="HL_TOC_13"/>
    <hyperlink ref="B28" location="HL_Sheet_Main_16" tooltip="Go to Outputs" display="HL_Sheet_Main_16"/>
    <hyperlink ref="D28" location="HL_Sheet_Main_16" tooltip="Go to Outputs" display="HL_Sheet_Main_16"/>
    <hyperlink ref="Q28" location="HL_Sheet_Main_16" tooltip="Go to Outputs" display="HL_Sheet_Main_16"/>
    <hyperlink ref="D29" location="HL_Sheet_Main_15" tooltip="Go to Forecast Outputs" display="HL_Sheet_Main_15"/>
    <hyperlink ref="F29" location="HL_Sheet_Main_15" tooltip="Go to Forecast Outputs" display="HL_Sheet_Main_15"/>
    <hyperlink ref="Q29" location="HL_Sheet_Main_15" tooltip="Go to Forecast Outputs" display="HL_Sheet_Main_15"/>
    <hyperlink ref="F30" location="HL_Sheet_Main_17" tooltip="Go to Outputs" display="HL_Sheet_Main_17"/>
    <hyperlink ref="H30" location="HL_Sheet_Main_17" tooltip="Go to Outputs" display="HL_Sheet_Main_17"/>
    <hyperlink ref="Q30" location="HL_Sheet_Main_17" tooltip="Go to Outputs" display="HL_Sheet_Main_17"/>
    <hyperlink ref="H31" location="HL_TOC_21" tooltip="Go to Operational - Outputs" display="HL_TOC_21"/>
    <hyperlink ref="I31" location="HL_TOC_21" tooltip="Go to Operational - Outputs" display="HL_TOC_21"/>
    <hyperlink ref="Q31" location="HL_TOC_21" tooltip="Go to Operational - Outputs" display="HL_TOC_21"/>
    <hyperlink ref="H32" location="HL_TOC_24" tooltip="Go to Working Capital - Outputs" display="HL_TOC_24"/>
    <hyperlink ref="I32" location="HL_TOC_24" tooltip="Go to Working Capital - Outputs" display="HL_TOC_24"/>
    <hyperlink ref="Q32" location="HL_TOC_24" tooltip="Go to Working Capital - Outputs" display="HL_TOC_24"/>
    <hyperlink ref="H33" location="HL_TOC_17" tooltip="Go to Assets - Outputs" display="HL_TOC_17"/>
    <hyperlink ref="I33" location="HL_TOC_17" tooltip="Go to Assets - Outputs" display="HL_TOC_17"/>
    <hyperlink ref="Q33" location="HL_TOC_17" tooltip="Go to Assets - Outputs" display="HL_TOC_17"/>
    <hyperlink ref="H34" location="HL_TOC_15" tooltip="Go to Capital - Outputs" display="HL_TOC_15"/>
    <hyperlink ref="I34" location="HL_TOC_15" tooltip="Go to Capital - Outputs" display="HL_TOC_15"/>
    <hyperlink ref="Q34" location="HL_TOC_15" tooltip="Go to Capital - Outputs" display="HL_TOC_15"/>
    <hyperlink ref="H35" location="HL_TOC_32" tooltip="Go to Taxation - Output Summary" display="HL_TOC_32"/>
    <hyperlink ref="I35" location="HL_TOC_32" tooltip="Go to Taxation - Output Summary" display="HL_TOC_32"/>
    <hyperlink ref="Q35" location="HL_TOC_32" tooltip="Go to Taxation - Output Summary" display="HL_TOC_32"/>
    <hyperlink ref="H36" location="HL_TOC_16" tooltip="Go to Other Balance Sheet Items - Outputs" display="HL_TOC_16"/>
    <hyperlink ref="I36" location="HL_TOC_16" tooltip="Go to Other Balance Sheet Items - Outputs" display="HL_TOC_16"/>
    <hyperlink ref="Q36" location="HL_TOC_16" tooltip="Go to Other Balance Sheet Items - Outputs" display="HL_TOC_16"/>
    <hyperlink ref="D37" location="HL_Sheet_Main_18" tooltip="Go to Financial Statements" display="HL_Sheet_Main_18"/>
    <hyperlink ref="F37" location="HL_Sheet_Main_18" tooltip="Go to Financial Statements" display="HL_Sheet_Main_18"/>
    <hyperlink ref="Q37" location="HL_Sheet_Main_18" tooltip="Go to Financial Statements" display="HL_Sheet_Main_18"/>
    <hyperlink ref="F38" location="HL_Sheet_Main_35" tooltip="Go to Income Statement" display="HL_Sheet_Main_35"/>
    <hyperlink ref="H38" location="HL_Sheet_Main_35" tooltip="Go to Income Statement" display="HL_Sheet_Main_35"/>
    <hyperlink ref="Q38" location="HL_Sheet_Main_35" tooltip="Go to Income Statement" display="HL_Sheet_Main_35"/>
    <hyperlink ref="F39" location="HL_Sheet_Main_36" tooltip="Go to Balance Sheet" display="HL_Sheet_Main_36"/>
    <hyperlink ref="H39" location="HL_Sheet_Main_36" tooltip="Go to Balance Sheet" display="HL_Sheet_Main_36"/>
    <hyperlink ref="Q39" location="HL_Sheet_Main_36" tooltip="Go to Balance Sheet" display="HL_Sheet_Main_36"/>
    <hyperlink ref="F40" location="HL_Sheet_Main_37" tooltip="Go to Cash Flow Statement" display="HL_Sheet_Main_37"/>
    <hyperlink ref="H40" location="HL_Sheet_Main_37" tooltip="Go to Cash Flow Statement" display="HL_Sheet_Main_37"/>
    <hyperlink ref="Q40" location="HL_Sheet_Main_37" tooltip="Go to Cash Flow Statement" display="HL_Sheet_Main_37"/>
    <hyperlink ref="H41" location="HL_TOC_35" tooltip="Go to Direct Cash Flow Statement" display="HL_TOC_35"/>
    <hyperlink ref="I41" location="HL_TOC_35" tooltip="Go to Direct Cash Flow Statement" display="HL_TOC_35"/>
    <hyperlink ref="Q41" location="HL_TOC_35" tooltip="Go to Direct Cash Flow Statement" display="HL_TOC_35"/>
    <hyperlink ref="H42" location="HL_TOC_36" tooltip="Go to Indirect Cash Flow Statement" display="HL_TOC_36"/>
    <hyperlink ref="I42" location="HL_TOC_36" tooltip="Go to Indirect Cash Flow Statement" display="HL_TOC_36"/>
    <hyperlink ref="Q42" location="HL_TOC_36" tooltip="Go to Indirect Cash Flow Statement" display="HL_TOC_36"/>
    <hyperlink ref="H43" location="HL_TOC_14" tooltip="Go to Capital Providers - Cash Flow Reconciliation" display="HL_TOC_14"/>
    <hyperlink ref="I43" location="HL_TOC_14" tooltip="Go to Capital Providers - Cash Flow Reconciliation" display="HL_TOC_14"/>
    <hyperlink ref="Q43" location="HL_TOC_14" tooltip="Go to Capital Providers - Cash Flow Reconciliation" display="HL_TOC_14"/>
    <hyperlink ref="D44" location="HL_Sheet_Main_20" tooltip="Go to Dashboard Outputs" display="HL_Sheet_Main_20"/>
    <hyperlink ref="F44" location="HL_Sheet_Main_20" tooltip="Go to Dashboard Outputs" display="HL_Sheet_Main_20"/>
    <hyperlink ref="Q44" location="HL_Sheet_Main_20" tooltip="Go to Dashboard Outputs" display="HL_Sheet_Main_20"/>
    <hyperlink ref="F45" location="HL_Sheet_Main_19" tooltip="Go to Business Planning Summary" display="HL_Sheet_Main_19"/>
    <hyperlink ref="H45" location="HL_Sheet_Main_19" tooltip="Go to Business Planning Summary" display="HL_Sheet_Main_19"/>
    <hyperlink ref="Q45" location="HL_Sheet_Main_19" tooltip="Go to Business Planning Summary" display="HL_Sheet_Main_19"/>
    <hyperlink ref="B46" location="HL_Sheet_Main_39" tooltip="Go to Appendices" display="HL_Sheet_Main_39"/>
    <hyperlink ref="D46" location="HL_Sheet_Main_39" tooltip="Go to Appendices" display="HL_Sheet_Main_39"/>
    <hyperlink ref="Q46" location="HL_Sheet_Main_39" tooltip="Go to Appendices" display="HL_Sheet_Main_39"/>
    <hyperlink ref="D47" location="HL_Sheet_Main_13" tooltip="Go to Checks" display="HL_Sheet_Main_13"/>
    <hyperlink ref="F47" location="HL_Sheet_Main_13" tooltip="Go to Checks" display="HL_Sheet_Main_13"/>
    <hyperlink ref="Q47" location="HL_Sheet_Main_13" tooltip="Go to Checks" display="HL_Sheet_Main_13"/>
    <hyperlink ref="F48" location="HL_Sheet_Main_14" tooltip="Go to Checks" display="HL_Sheet_Main_14"/>
    <hyperlink ref="H48" location="HL_Sheet_Main_14" tooltip="Go to Checks" display="HL_Sheet_Main_14"/>
    <hyperlink ref="Q48" location="HL_Sheet_Main_14" tooltip="Go to Checks" display="HL_Sheet_Main_14"/>
    <hyperlink ref="H49" location="HL_TOC_6" tooltip="Go to Error Checks" display="HL_TOC_6"/>
    <hyperlink ref="I49" location="HL_TOC_6" tooltip="Go to Error Checks" display="HL_TOC_6"/>
    <hyperlink ref="Q49" location="HL_TOC_6" tooltip="Go to Error Checks" display="HL_TOC_6"/>
    <hyperlink ref="H50" location="HL_TOC_7" tooltip="Go to Sensitivity Checks" display="HL_TOC_7"/>
    <hyperlink ref="I50" location="HL_TOC_7" tooltip="Go to Sensitivity Checks" display="HL_TOC_7"/>
    <hyperlink ref="Q50" location="HL_TOC_7" tooltip="Go to Sensitivity Checks" display="HL_TOC_7"/>
    <hyperlink ref="H51" location="HL_TOC_8" tooltip="Go to Alert Checks" display="HL_TOC_8"/>
    <hyperlink ref="I51" location="HL_TOC_8" tooltip="Go to Alert Checks" display="HL_TOC_8"/>
    <hyperlink ref="Q51" location="HL_TOC_8" tooltip="Go to Alert Checks" display="HL_TOC_8"/>
    <hyperlink ref="D52" location="HL_Sheet_Main_40" tooltip="Go to Lookup Tables" display="HL_Sheet_Main_40"/>
    <hyperlink ref="F52" location="HL_Sheet_Main_40" tooltip="Go to Lookup Tables" display="HL_Sheet_Main_40"/>
    <hyperlink ref="Q52" location="HL_Sheet_Main_40" tooltip="Go to Lookup Tables" display="HL_Sheet_Main_40"/>
    <hyperlink ref="F53" location="HL_Sheet_Main_9" tooltip="Go to Time Series Lookup Tables" display="HL_Sheet_Main_9"/>
    <hyperlink ref="H53" location="HL_Sheet_Main_9" tooltip="Go to Time Series Lookup Tables" display="HL_Sheet_Main_9"/>
    <hyperlink ref="Q53" location="HL_Sheet_Main_9" tooltip="Go to Time Series Lookup Tables" display="HL_Sheet_Main_9"/>
    <hyperlink ref="F54" location="HL_Sheet_Main_42" tooltip="Go to Capital - Lookup Tables" display="HL_Sheet_Main_42"/>
    <hyperlink ref="H54" location="HL_Sheet_Main_42" tooltip="Go to Capital - Lookup Tables" display="HL_Sheet_Main_42"/>
    <hyperlink ref="Q54" location="HL_Sheet_Main_42" tooltip="Go to Capital - Lookup Tables" display="HL_Sheet_Main_42"/>
    <hyperlink ref="F55" location="HL_Sheet_Main_27" tooltip="Go to Dashboards - Lookup Tables" display="HL_Sheet_Main_27"/>
    <hyperlink ref="H55" location="HL_Sheet_Main_27" tooltip="Go to Dashboards - Lookup Tables" display="HL_Sheet_Main_27"/>
    <hyperlink ref="Q55"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7">
        <f>J20+J21</f>
        <v>135.72602739726028</v>
      </c>
      <c r="K22" s="97">
        <f aca="true" t="shared" si="8" ref="K22:Q22">K20+K21</f>
        <v>127.86815068493149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7"/>
      <c r="K49" s="97"/>
      <c r="L49" s="97"/>
      <c r="M49" s="97"/>
      <c r="N49" s="97"/>
      <c r="O49" s="97"/>
      <c r="P49" s="97"/>
      <c r="Q49" s="97"/>
    </row>
    <row r="50" spans="3:17" ht="12" thickBot="1">
      <c r="C50" s="96"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-0.25684931506850717</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7">
        <f aca="true" t="shared" si="30" ref="J91:Q91">J$31</f>
        <v>55.98972602739727</v>
      </c>
      <c r="K91" s="97">
        <f t="shared" si="30"/>
        <v>45.405993150684914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6"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30.718493150684914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27.468493150684914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8">
        <v>1</v>
      </c>
      <c r="D114" s="116"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528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540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8. Calculation Formulae - Best Practice Model Example</v>
      </c>
    </row>
    <row r="3" spans="2:12" ht="10.5">
      <c r="B3" s="249" t="s">
        <v>49</v>
      </c>
      <c r="C3" s="249"/>
      <c r="D3" s="249"/>
      <c r="E3" s="249"/>
      <c r="F3" s="249"/>
      <c r="G3" s="249"/>
      <c r="H3" s="249"/>
      <c r="I3" s="249"/>
      <c r="J3" s="249"/>
      <c r="K3" s="249"/>
      <c r="L3" s="112"/>
    </row>
    <row r="4" spans="1:11" ht="12.75">
      <c r="A4" s="29" t="s">
        <v>52</v>
      </c>
      <c r="B4" s="250" t="s">
        <v>54</v>
      </c>
      <c r="C4" s="250"/>
      <c r="D4" s="251" t="s">
        <v>103</v>
      </c>
      <c r="E4" s="251"/>
      <c r="F4" s="248" t="s">
        <v>206</v>
      </c>
      <c r="G4" s="248"/>
      <c r="H4" s="248" t="s">
        <v>207</v>
      </c>
      <c r="I4" s="248"/>
      <c r="J4" s="248" t="s">
        <v>208</v>
      </c>
      <c r="K4" s="248"/>
    </row>
    <row r="5" ht="10.5"/>
    <row r="7" spans="2:57" ht="11.25">
      <c r="B7" s="282" t="s">
        <v>48</v>
      </c>
      <c r="C7" s="283"/>
      <c r="D7" s="283"/>
      <c r="E7" s="283"/>
      <c r="F7" s="283"/>
      <c r="G7" s="283"/>
      <c r="H7" s="283"/>
      <c r="I7" s="283"/>
      <c r="J7" s="283"/>
      <c r="K7" s="283"/>
      <c r="L7" s="283"/>
      <c r="M7" s="283"/>
      <c r="N7" s="283"/>
      <c r="O7" s="283"/>
      <c r="P7" s="283"/>
      <c r="Q7" s="283"/>
      <c r="R7" s="283"/>
      <c r="S7" s="284"/>
      <c r="V7" s="281" t="s">
        <v>432</v>
      </c>
      <c r="W7" s="281"/>
      <c r="X7" s="281"/>
      <c r="Y7" s="281"/>
      <c r="Z7" s="281"/>
      <c r="AA7" s="281"/>
      <c r="AB7" s="281"/>
      <c r="AC7" s="281"/>
      <c r="AD7" s="281"/>
      <c r="AE7" s="281"/>
      <c r="AF7" s="281"/>
      <c r="AG7" s="281"/>
      <c r="AH7" s="281"/>
      <c r="AI7" s="281"/>
      <c r="AJ7" s="281"/>
      <c r="AK7" s="281"/>
      <c r="AL7" s="281"/>
      <c r="AM7" s="281"/>
      <c r="AP7" s="157" t="str">
        <f>IF(TS_Periodicity=Annual,IS_TO!$B$7,IS_TO!$B$6)</f>
        <v>Year Ending 31 December</v>
      </c>
      <c r="AQ7" s="156"/>
      <c r="AR7" s="16"/>
      <c r="AS7" s="16"/>
      <c r="AT7" s="16"/>
      <c r="AU7" s="16"/>
      <c r="AV7" s="16"/>
      <c r="AW7" s="16"/>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10"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10" t="s">
        <v>350</v>
      </c>
      <c r="AU11" s="5" t="str">
        <f>Fcast_TO!C18</f>
        <v>Revenue</v>
      </c>
    </row>
    <row r="12" spans="2:39" ht="10.5">
      <c r="B12" s="174"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10"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10"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10"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1">
        <f aca="true" t="shared" si="5" ref="N23:S23">IF(ISERROR(N15/N11),"N/A",N15/N11)</f>
        <v>0.48</v>
      </c>
      <c r="O23" s="181">
        <f t="shared" si="5"/>
        <v>0.48</v>
      </c>
      <c r="P23" s="181">
        <f t="shared" si="5"/>
        <v>0.48000000000000004</v>
      </c>
      <c r="Q23" s="181">
        <f t="shared" si="5"/>
        <v>0.48000000000000004</v>
      </c>
      <c r="R23" s="181">
        <f t="shared" si="5"/>
        <v>0.4800000000000001</v>
      </c>
      <c r="S23" s="181">
        <f t="shared" si="5"/>
        <v>0.4800000000000001</v>
      </c>
      <c r="V23" s="165"/>
      <c r="W23" s="165"/>
      <c r="X23" s="165"/>
      <c r="Y23" s="165"/>
      <c r="Z23" s="165"/>
      <c r="AA23" s="165"/>
      <c r="AB23" s="165"/>
      <c r="AC23" s="165"/>
      <c r="AD23" s="165"/>
      <c r="AE23" s="165"/>
      <c r="AF23" s="165"/>
      <c r="AG23" s="165"/>
      <c r="AH23" s="165"/>
      <c r="AI23" s="165"/>
      <c r="AJ23" s="165"/>
      <c r="AK23" s="165"/>
      <c r="AL23" s="165"/>
      <c r="AM23" s="165"/>
      <c r="AQ23" s="110"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85" t="s">
        <v>0</v>
      </c>
      <c r="C26" s="286"/>
      <c r="D26" s="286"/>
      <c r="E26" s="286"/>
      <c r="F26" s="286"/>
      <c r="G26" s="286"/>
      <c r="H26" s="286"/>
      <c r="I26" s="286"/>
      <c r="J26" s="286"/>
      <c r="K26" s="286"/>
      <c r="L26" s="286"/>
      <c r="M26" s="286"/>
      <c r="N26" s="286"/>
      <c r="O26" s="286"/>
      <c r="P26" s="286"/>
      <c r="Q26" s="286"/>
      <c r="R26" s="286"/>
      <c r="S26" s="287"/>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81" t="s">
        <v>433</v>
      </c>
      <c r="W27" s="281"/>
      <c r="X27" s="281"/>
      <c r="Y27" s="281"/>
      <c r="Z27" s="281"/>
      <c r="AA27" s="281"/>
      <c r="AB27" s="281"/>
      <c r="AC27" s="281"/>
      <c r="AD27" s="281"/>
      <c r="AE27" s="281"/>
      <c r="AF27" s="281"/>
      <c r="AG27" s="281"/>
      <c r="AH27" s="281"/>
      <c r="AI27" s="281"/>
      <c r="AJ27" s="281"/>
      <c r="AK27" s="281"/>
      <c r="AL27" s="281"/>
      <c r="AM27" s="281"/>
      <c r="AP27" s="110"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10"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10"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10" t="s">
        <v>350</v>
      </c>
      <c r="AU38" s="116"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10" t="s">
        <v>448</v>
      </c>
      <c r="AU40" s="208">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7">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7">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7"/>
    </row>
    <row r="45" spans="2:50" ht="11.25">
      <c r="B45" s="278" t="s">
        <v>46</v>
      </c>
      <c r="C45" s="279"/>
      <c r="D45" s="279"/>
      <c r="E45" s="279"/>
      <c r="F45" s="279"/>
      <c r="G45" s="279"/>
      <c r="H45" s="279"/>
      <c r="I45" s="279"/>
      <c r="J45" s="279"/>
      <c r="K45" s="279"/>
      <c r="L45" s="279"/>
      <c r="M45" s="279"/>
      <c r="N45" s="279"/>
      <c r="O45" s="279"/>
      <c r="P45" s="279"/>
      <c r="Q45" s="279"/>
      <c r="R45" s="279"/>
      <c r="S45" s="280"/>
      <c r="V45" s="165"/>
      <c r="W45" s="165"/>
      <c r="X45" s="165"/>
      <c r="Y45" s="165"/>
      <c r="Z45" s="165"/>
      <c r="AA45" s="165"/>
      <c r="AB45" s="165"/>
      <c r="AC45" s="165"/>
      <c r="AD45" s="165"/>
      <c r="AE45" s="165"/>
      <c r="AF45" s="165"/>
      <c r="AG45" s="165"/>
      <c r="AH45" s="165"/>
      <c r="AI45" s="165"/>
      <c r="AJ45" s="165"/>
      <c r="AK45" s="165"/>
      <c r="AL45" s="165"/>
      <c r="AM45" s="165"/>
      <c r="AP45" s="110" t="s">
        <v>463</v>
      </c>
      <c r="AQ45" s="5"/>
      <c r="AX45" s="97"/>
    </row>
    <row r="46" spans="2:50" ht="11.25">
      <c r="B46" s="147"/>
      <c r="C46" s="147"/>
      <c r="D46" s="147"/>
      <c r="E46" s="147"/>
      <c r="F46" s="147"/>
      <c r="G46" s="147"/>
      <c r="H46" s="147"/>
      <c r="I46" s="147"/>
      <c r="J46" s="147"/>
      <c r="K46" s="147"/>
      <c r="L46" s="147"/>
      <c r="M46" s="147"/>
      <c r="N46" s="147"/>
      <c r="O46" s="147"/>
      <c r="P46" s="147"/>
      <c r="Q46" s="147"/>
      <c r="R46" s="147"/>
      <c r="S46" s="147"/>
      <c r="V46" s="281" t="s">
        <v>434</v>
      </c>
      <c r="W46" s="281"/>
      <c r="X46" s="281"/>
      <c r="Y46" s="281"/>
      <c r="Z46" s="281"/>
      <c r="AA46" s="281"/>
      <c r="AB46" s="281"/>
      <c r="AC46" s="281"/>
      <c r="AD46" s="281"/>
      <c r="AE46" s="281"/>
      <c r="AF46" s="281"/>
      <c r="AG46" s="281"/>
      <c r="AH46" s="281"/>
      <c r="AI46" s="281"/>
      <c r="AJ46" s="281"/>
      <c r="AK46" s="281"/>
      <c r="AL46" s="281"/>
      <c r="AM46" s="281"/>
      <c r="AQ46" s="5"/>
      <c r="AX46" s="97"/>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10" t="s">
        <v>350</v>
      </c>
      <c r="AU47" s="116"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10" t="s">
        <v>448</v>
      </c>
      <c r="AU49" s="208">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88" t="s">
        <v>10</v>
      </c>
      <c r="AY51" s="288" t="s">
        <v>456</v>
      </c>
      <c r="AZ51" s="288" t="s">
        <v>457</v>
      </c>
      <c r="BA51" s="288" t="s">
        <v>458</v>
      </c>
      <c r="BB51" s="288"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10" t="s">
        <v>460</v>
      </c>
      <c r="AX52" s="289"/>
      <c r="AY52" s="289"/>
      <c r="AZ52" s="289"/>
      <c r="BA52" s="289"/>
      <c r="BB52" s="289"/>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7">
        <f ca="1">OFFSET($N$32,0,AU49-1)</f>
        <v>216.719948630137</v>
      </c>
      <c r="AY53" s="97"/>
      <c r="AZ53" s="162">
        <v>0</v>
      </c>
      <c r="BA53" s="164">
        <f>AX53</f>
        <v>216.719948630137</v>
      </c>
      <c r="BB53" s="97">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9"/>
      <c r="AY54" s="99">
        <f ca="1">-OFFSET($N$36,0,AU49-1)</f>
        <v>-80.80119863013698</v>
      </c>
      <c r="AZ54" s="163">
        <f>BA53+IF(AY54&lt;0,AY54,0)</f>
        <v>135.91875000000002</v>
      </c>
      <c r="BA54" s="99">
        <f>ABS(AY54)</f>
        <v>80.80119863013698</v>
      </c>
      <c r="BB54" s="99">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10" t="s">
        <v>38</v>
      </c>
      <c r="AX55" s="100">
        <f>AX53+SUM(AY54:AY54)</f>
        <v>135.91875000000002</v>
      </c>
      <c r="AY55" s="100"/>
      <c r="AZ55" s="161">
        <v>0</v>
      </c>
      <c r="BA55" s="100">
        <f>SUM(AX53,AY54:AY54)</f>
        <v>135.91875000000002</v>
      </c>
      <c r="BB55" s="100">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541</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5.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ht="12.75">
      <c r="B7" s="30" t="s">
        <v>227</v>
      </c>
    </row>
    <row r="9" ht="17.25" customHeight="1">
      <c r="C9" s="69" t="b">
        <v>1</v>
      </c>
    </row>
    <row r="11" ht="11.25">
      <c r="C11" s="31" t="s">
        <v>228</v>
      </c>
    </row>
    <row r="13" spans="4:9" ht="10.5">
      <c r="D13" s="74" t="str">
        <f>D30</f>
        <v>Total Errors:</v>
      </c>
      <c r="I13" s="76">
        <f>Err_Chks_Ttl_Areas</f>
        <v>0</v>
      </c>
    </row>
    <row r="14" spans="4:9" ht="10.5">
      <c r="D14" s="77" t="s">
        <v>231</v>
      </c>
      <c r="I14" s="78">
        <f>IF(OR(NOT(CB_Err_Chks_Show_Msg),Err_Chks_Ttl_Areas=0),"",IF(Err_Chks_Ttl_Areas=1," (Error in "&amp;INDEX(CA_Err_Chks_Area_Names,MATCH(1,CA_Err_Chks_Flags,0))&amp;")"," ("&amp;TEXT(Err_Chks_Ttl_Areas,"#,##0")&amp;" Errors Detected)"))</f>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0</v>
      </c>
      <c r="L27" s="68" t="s">
        <v>87</v>
      </c>
      <c r="M27" s="72">
        <f t="shared" si="0"/>
        <v>0</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0</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7.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8.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9.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8. Calculation Formulae - Best Practice Model Example</v>
      </c>
    </row>
    <row r="3" spans="2:4" ht="10.5">
      <c r="B3" s="230" t="s">
        <v>49</v>
      </c>
      <c r="C3" s="230"/>
      <c r="D3" s="230"/>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8" t="str">
        <f>IF(TS_Periodicity=Annual,Fcast_TA!J$7,Fcast_TA!J$6)</f>
        <v>2010 (F) </v>
      </c>
      <c r="F12" s="24"/>
    </row>
    <row r="13" spans="4:6" ht="10.5">
      <c r="D13" s="158" t="str">
        <f>IF(TS_Periodicity=Annual,Fcast_TA!K$7,Fcast_TA!K$6)</f>
        <v>2011 (F) </v>
      </c>
      <c r="F13" s="24"/>
    </row>
    <row r="14" spans="4:6" ht="10.5">
      <c r="D14" s="158" t="str">
        <f>IF(TS_Periodicity=Annual,Fcast_TA!L$7,Fcast_TA!L$6)</f>
        <v>2012 (F) </v>
      </c>
      <c r="F14" s="24"/>
    </row>
    <row r="15" spans="4:6" ht="10.5">
      <c r="D15" s="158" t="str">
        <f>IF(TS_Periodicity=Annual,Fcast_TA!M$7,Fcast_TA!M$6)</f>
        <v>2013 (F) </v>
      </c>
      <c r="F15" s="24"/>
    </row>
    <row r="16" spans="4:6" ht="10.5">
      <c r="D16" s="158" t="str">
        <f>IF(TS_Periodicity=Annual,Fcast_TA!N$7,Fcast_TA!N$6)</f>
        <v>2014 (F) </v>
      </c>
      <c r="F16" s="24"/>
    </row>
    <row r="17" spans="4:6" ht="10.5">
      <c r="D17" s="158" t="str">
        <f>IF(TS_Periodicity=Annual,Fcast_TA!O$7,Fcast_TA!O$6)</f>
        <v>2015 (F) </v>
      </c>
      <c r="F17" s="24"/>
    </row>
    <row r="18" spans="4:6" ht="10.5">
      <c r="D18" s="158" t="str">
        <f>IF(TS_Periodicity=Annual,Fcast_TA!P$7,Fcast_TA!P$6)</f>
        <v>2016 (F) </v>
      </c>
      <c r="F18" s="24"/>
    </row>
    <row r="19" spans="4:6" ht="10.5">
      <c r="D19" s="158"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spans="3:13" ht="12.75">
      <c r="C7" s="7" t="s">
        <v>209</v>
      </c>
      <c r="D7" s="16"/>
      <c r="E7" s="16"/>
      <c r="F7" s="16"/>
      <c r="G7" s="7" t="s">
        <v>204</v>
      </c>
      <c r="H7" s="16"/>
      <c r="I7" s="16"/>
      <c r="J7" s="16"/>
      <c r="K7" s="16"/>
      <c r="L7" s="16"/>
      <c r="M7" s="16"/>
    </row>
    <row r="8" ht="4.5" customHeight="1"/>
    <row r="9" spans="3:13" ht="11.25" customHeight="1">
      <c r="C9" s="239" t="s">
        <v>210</v>
      </c>
      <c r="D9" s="239"/>
      <c r="E9" s="239"/>
      <c r="F9" s="239"/>
      <c r="G9" s="240" t="s">
        <v>572</v>
      </c>
      <c r="H9" s="240"/>
      <c r="I9" s="240"/>
      <c r="J9" s="240"/>
      <c r="K9" s="240"/>
      <c r="L9" s="240"/>
      <c r="M9" s="240"/>
    </row>
    <row r="10" spans="3:13" ht="11.25" customHeight="1">
      <c r="C10" s="239"/>
      <c r="D10" s="239"/>
      <c r="E10" s="239"/>
      <c r="F10" s="239"/>
      <c r="G10" s="240"/>
      <c r="H10" s="240"/>
      <c r="I10" s="240"/>
      <c r="J10" s="240"/>
      <c r="K10" s="240"/>
      <c r="L10" s="240"/>
      <c r="M10" s="240"/>
    </row>
    <row r="11" spans="3:13" ht="10.5">
      <c r="C11" s="242"/>
      <c r="D11" s="242"/>
      <c r="E11" s="242"/>
      <c r="F11" s="242"/>
      <c r="G11" s="240"/>
      <c r="H11" s="240"/>
      <c r="I11" s="240"/>
      <c r="J11" s="240"/>
      <c r="K11" s="240"/>
      <c r="L11" s="240"/>
      <c r="M11" s="240"/>
    </row>
    <row r="12" spans="3:13" ht="4.5" customHeight="1">
      <c r="C12" s="242"/>
      <c r="D12" s="242"/>
      <c r="E12" s="242"/>
      <c r="F12" s="242"/>
      <c r="G12" s="178"/>
      <c r="H12" s="178"/>
      <c r="I12" s="178"/>
      <c r="J12" s="178"/>
      <c r="K12" s="178"/>
      <c r="L12" s="178"/>
      <c r="M12" s="178"/>
    </row>
    <row r="13" spans="3:13" ht="11.25" customHeight="1">
      <c r="C13" s="239" t="s">
        <v>211</v>
      </c>
      <c r="D13" s="239"/>
      <c r="E13" s="239"/>
      <c r="F13" s="239"/>
      <c r="G13" s="240" t="s">
        <v>212</v>
      </c>
      <c r="H13" s="240"/>
      <c r="I13" s="240"/>
      <c r="J13" s="240"/>
      <c r="K13" s="240"/>
      <c r="L13" s="240"/>
      <c r="M13" s="240"/>
    </row>
    <row r="14" spans="3:13" ht="4.5" customHeight="1">
      <c r="C14" s="242"/>
      <c r="D14" s="242"/>
      <c r="E14" s="242"/>
      <c r="F14" s="242"/>
      <c r="G14" s="179"/>
      <c r="H14" s="179"/>
      <c r="I14" s="179"/>
      <c r="J14" s="179"/>
      <c r="K14" s="179"/>
      <c r="L14" s="179"/>
      <c r="M14" s="179"/>
    </row>
    <row r="15" spans="3:13" ht="10.5">
      <c r="C15" s="242"/>
      <c r="D15" s="242"/>
      <c r="E15" s="242"/>
      <c r="F15" s="242"/>
      <c r="G15" s="241" t="s">
        <v>573</v>
      </c>
      <c r="H15" s="241"/>
      <c r="I15" s="241"/>
      <c r="J15" s="241"/>
      <c r="K15" s="241"/>
      <c r="L15" s="241"/>
      <c r="M15" s="241"/>
    </row>
    <row r="16" spans="3:13" ht="10.5">
      <c r="C16" s="242"/>
      <c r="D16" s="242"/>
      <c r="E16" s="242"/>
      <c r="F16" s="242"/>
      <c r="G16" s="241" t="s">
        <v>535</v>
      </c>
      <c r="H16" s="241"/>
      <c r="I16" s="241"/>
      <c r="J16" s="241"/>
      <c r="K16" s="241"/>
      <c r="L16" s="241"/>
      <c r="M16" s="241"/>
    </row>
    <row r="17" spans="3:13" ht="10.5">
      <c r="C17" s="242"/>
      <c r="D17" s="242"/>
      <c r="E17" s="242"/>
      <c r="F17" s="242"/>
      <c r="G17" s="241" t="s">
        <v>536</v>
      </c>
      <c r="H17" s="241"/>
      <c r="I17" s="241"/>
      <c r="J17" s="241"/>
      <c r="K17" s="241"/>
      <c r="L17" s="241"/>
      <c r="M17" s="241"/>
    </row>
    <row r="18" spans="3:13" ht="4.5" customHeight="1">
      <c r="C18" s="242"/>
      <c r="D18" s="242"/>
      <c r="E18" s="242"/>
      <c r="F18" s="242"/>
      <c r="G18" s="178"/>
      <c r="H18" s="178"/>
      <c r="I18" s="178"/>
      <c r="J18" s="178"/>
      <c r="K18" s="178"/>
      <c r="L18" s="178"/>
      <c r="M18" s="178"/>
    </row>
    <row r="19" spans="3:13" ht="11.25" customHeight="1">
      <c r="C19" s="239" t="s">
        <v>213</v>
      </c>
      <c r="D19" s="239"/>
      <c r="E19" s="239"/>
      <c r="F19" s="239"/>
      <c r="G19" s="240" t="s">
        <v>534</v>
      </c>
      <c r="H19" s="240"/>
      <c r="I19" s="240"/>
      <c r="J19" s="240"/>
      <c r="K19" s="240"/>
      <c r="L19" s="240"/>
      <c r="M19" s="240"/>
    </row>
    <row r="20" spans="3:13" ht="4.5" customHeight="1">
      <c r="C20" s="242"/>
      <c r="D20" s="242"/>
      <c r="E20" s="242"/>
      <c r="F20" s="242"/>
      <c r="G20" s="178"/>
      <c r="H20" s="178"/>
      <c r="I20" s="178"/>
      <c r="J20" s="178"/>
      <c r="K20" s="178"/>
      <c r="L20" s="178"/>
      <c r="M20" s="178"/>
    </row>
    <row r="21" spans="3:13" ht="11.25" customHeight="1">
      <c r="C21" s="239" t="s">
        <v>214</v>
      </c>
      <c r="D21" s="239"/>
      <c r="E21" s="239"/>
      <c r="F21" s="239"/>
      <c r="G21" s="243" t="s">
        <v>574</v>
      </c>
      <c r="H21" s="243"/>
      <c r="I21" s="243"/>
      <c r="J21" s="243"/>
      <c r="K21" s="243"/>
      <c r="L21" s="243"/>
      <c r="M21" s="243"/>
    </row>
    <row r="22" spans="3:13" ht="11.25" customHeight="1">
      <c r="C22" s="239"/>
      <c r="D22" s="239"/>
      <c r="E22" s="239"/>
      <c r="F22" s="239"/>
      <c r="G22" s="243"/>
      <c r="H22" s="243"/>
      <c r="I22" s="243"/>
      <c r="J22" s="243"/>
      <c r="K22" s="243"/>
      <c r="L22" s="243"/>
      <c r="M22" s="243"/>
    </row>
    <row r="23" spans="3:13" ht="4.5" customHeight="1">
      <c r="C23" s="246"/>
      <c r="D23" s="246"/>
      <c r="E23" s="246"/>
      <c r="F23" s="246"/>
      <c r="G23" s="178"/>
      <c r="H23" s="178"/>
      <c r="I23" s="178"/>
      <c r="J23" s="178"/>
      <c r="K23" s="178"/>
      <c r="L23" s="178"/>
      <c r="M23" s="178"/>
    </row>
    <row r="24" spans="3:13" ht="11.25" customHeight="1">
      <c r="C24" s="239" t="s">
        <v>293</v>
      </c>
      <c r="D24" s="239"/>
      <c r="E24" s="239"/>
      <c r="F24" s="239"/>
      <c r="G24" s="240" t="s">
        <v>575</v>
      </c>
      <c r="H24" s="240"/>
      <c r="I24" s="240"/>
      <c r="J24" s="240"/>
      <c r="K24" s="240"/>
      <c r="L24" s="240"/>
      <c r="M24" s="240"/>
    </row>
    <row r="25" spans="3:13" ht="10.5">
      <c r="C25" s="242"/>
      <c r="D25" s="242"/>
      <c r="E25" s="242"/>
      <c r="F25" s="242"/>
      <c r="G25" s="240"/>
      <c r="H25" s="240"/>
      <c r="I25" s="240"/>
      <c r="J25" s="240"/>
      <c r="K25" s="240"/>
      <c r="L25" s="240"/>
      <c r="M25" s="240"/>
    </row>
    <row r="26" spans="3:13" ht="4.5" customHeight="1">
      <c r="C26" s="246"/>
      <c r="D26" s="246"/>
      <c r="E26" s="246"/>
      <c r="F26" s="246"/>
      <c r="G26" s="178"/>
      <c r="H26" s="178"/>
      <c r="I26" s="178"/>
      <c r="J26" s="178"/>
      <c r="K26" s="178"/>
      <c r="L26" s="178"/>
      <c r="M26" s="178"/>
    </row>
    <row r="27" spans="3:13" ht="11.25" customHeight="1">
      <c r="C27" s="239" t="s">
        <v>215</v>
      </c>
      <c r="D27" s="239"/>
      <c r="E27" s="239"/>
      <c r="F27" s="239"/>
      <c r="G27" s="240" t="s">
        <v>294</v>
      </c>
      <c r="H27" s="240"/>
      <c r="I27" s="240"/>
      <c r="J27" s="240"/>
      <c r="K27" s="240"/>
      <c r="L27" s="240"/>
      <c r="M27" s="240"/>
    </row>
    <row r="28" spans="3:13" ht="11.25" customHeight="1">
      <c r="C28" s="239"/>
      <c r="D28" s="239"/>
      <c r="E28" s="239"/>
      <c r="F28" s="239"/>
      <c r="G28" s="240"/>
      <c r="H28" s="240"/>
      <c r="I28" s="240"/>
      <c r="J28" s="240"/>
      <c r="K28" s="240"/>
      <c r="L28" s="240"/>
      <c r="M28" s="240"/>
    </row>
    <row r="29" spans="3:13" ht="11.25" customHeight="1">
      <c r="C29" s="239"/>
      <c r="D29" s="239"/>
      <c r="E29" s="239"/>
      <c r="F29" s="239"/>
      <c r="G29" s="240"/>
      <c r="H29" s="240"/>
      <c r="I29" s="240"/>
      <c r="J29" s="240"/>
      <c r="K29" s="240"/>
      <c r="L29" s="240"/>
      <c r="M29" s="240"/>
    </row>
    <row r="30" spans="3:13" ht="11.25" customHeight="1">
      <c r="C30" s="247"/>
      <c r="D30" s="247"/>
      <c r="E30" s="247"/>
      <c r="F30" s="247"/>
      <c r="G30" s="240"/>
      <c r="H30" s="240"/>
      <c r="I30" s="240"/>
      <c r="J30" s="240"/>
      <c r="K30" s="240"/>
      <c r="L30" s="240"/>
      <c r="M30" s="240"/>
    </row>
    <row r="31" spans="3:13" ht="4.5" customHeight="1">
      <c r="C31" s="242"/>
      <c r="D31" s="242"/>
      <c r="E31" s="242"/>
      <c r="F31" s="242"/>
      <c r="G31" s="179"/>
      <c r="H31" s="179"/>
      <c r="I31" s="179"/>
      <c r="J31" s="179"/>
      <c r="K31" s="179"/>
      <c r="L31" s="179"/>
      <c r="M31" s="179"/>
    </row>
    <row r="32" spans="3:13" ht="10.5" customHeight="1">
      <c r="C32" s="239" t="s">
        <v>216</v>
      </c>
      <c r="D32" s="239"/>
      <c r="E32" s="239"/>
      <c r="F32" s="239"/>
      <c r="G32" s="240" t="s">
        <v>295</v>
      </c>
      <c r="H32" s="240"/>
      <c r="I32" s="240"/>
      <c r="J32" s="240"/>
      <c r="K32" s="240"/>
      <c r="L32" s="240"/>
      <c r="M32" s="240"/>
    </row>
    <row r="33" spans="3:13" ht="11.25">
      <c r="C33" s="247"/>
      <c r="D33" s="247"/>
      <c r="E33" s="247"/>
      <c r="F33" s="247"/>
      <c r="G33" s="240"/>
      <c r="H33" s="240"/>
      <c r="I33" s="240"/>
      <c r="J33" s="240"/>
      <c r="K33" s="240"/>
      <c r="L33" s="240"/>
      <c r="M33" s="240"/>
    </row>
    <row r="34" spans="3:13" ht="11.25">
      <c r="C34" s="247"/>
      <c r="D34" s="247"/>
      <c r="E34" s="247"/>
      <c r="F34" s="247"/>
      <c r="G34" s="240"/>
      <c r="H34" s="240"/>
      <c r="I34" s="240"/>
      <c r="J34" s="240"/>
      <c r="K34" s="240"/>
      <c r="L34" s="240"/>
      <c r="M34" s="240"/>
    </row>
    <row r="35" spans="3:13" ht="11.25">
      <c r="C35" s="247"/>
      <c r="D35" s="247"/>
      <c r="E35" s="247"/>
      <c r="F35" s="247"/>
      <c r="G35" s="240"/>
      <c r="H35" s="240"/>
      <c r="I35" s="240"/>
      <c r="J35" s="240"/>
      <c r="K35" s="240"/>
      <c r="L35" s="240"/>
      <c r="M35" s="240"/>
    </row>
    <row r="36" spans="3:13" ht="10.5">
      <c r="C36" s="242"/>
      <c r="D36" s="242"/>
      <c r="E36" s="242"/>
      <c r="F36" s="242"/>
      <c r="G36" s="240"/>
      <c r="H36" s="240"/>
      <c r="I36" s="240"/>
      <c r="J36" s="240"/>
      <c r="K36" s="240"/>
      <c r="L36" s="240"/>
      <c r="M36" s="240"/>
    </row>
    <row r="37" spans="3:13" ht="4.5" customHeight="1">
      <c r="C37" s="242"/>
      <c r="D37" s="242"/>
      <c r="E37" s="242"/>
      <c r="F37" s="242"/>
      <c r="G37" s="179"/>
      <c r="H37" s="179"/>
      <c r="I37" s="179"/>
      <c r="J37" s="179"/>
      <c r="K37" s="179"/>
      <c r="L37" s="179"/>
      <c r="M37" s="179"/>
    </row>
    <row r="38" spans="3:13" ht="10.5">
      <c r="C38" s="239" t="s">
        <v>217</v>
      </c>
      <c r="D38" s="239"/>
      <c r="E38" s="239"/>
      <c r="F38" s="239"/>
      <c r="G38" s="245" t="s">
        <v>218</v>
      </c>
      <c r="H38" s="245"/>
      <c r="I38" s="244" t="s">
        <v>47</v>
      </c>
      <c r="J38" s="244"/>
      <c r="K38" s="244"/>
      <c r="L38" s="244"/>
      <c r="M38" s="244"/>
    </row>
    <row r="39" spans="3:13" ht="10.5">
      <c r="C39" s="242"/>
      <c r="D39" s="242"/>
      <c r="E39" s="242"/>
      <c r="F39" s="242"/>
      <c r="G39" s="245" t="s">
        <v>219</v>
      </c>
      <c r="H39" s="245"/>
      <c r="I39" s="244" t="s">
        <v>544</v>
      </c>
      <c r="J39" s="244"/>
      <c r="K39" s="244"/>
      <c r="L39" s="244"/>
      <c r="M39" s="244"/>
    </row>
    <row r="40" spans="3:13" ht="4.5" customHeight="1">
      <c r="C40" s="242"/>
      <c r="D40" s="242"/>
      <c r="E40" s="242"/>
      <c r="F40" s="242"/>
      <c r="G40" s="179"/>
      <c r="H40" s="179"/>
      <c r="I40" s="179"/>
      <c r="J40" s="179"/>
      <c r="K40" s="179"/>
      <c r="L40" s="179"/>
      <c r="M40" s="179"/>
    </row>
    <row r="41" spans="3:13" ht="10.5">
      <c r="C41" s="242"/>
      <c r="D41" s="242"/>
      <c r="E41" s="242"/>
      <c r="F41" s="242"/>
      <c r="G41" s="245" t="s">
        <v>296</v>
      </c>
      <c r="H41" s="245"/>
      <c r="I41" s="245"/>
      <c r="J41" s="245"/>
      <c r="K41" s="245"/>
      <c r="L41" s="245"/>
      <c r="M41" s="245"/>
    </row>
    <row r="42" spans="3:13" ht="4.5" customHeight="1">
      <c r="C42" s="242"/>
      <c r="D42" s="242"/>
      <c r="E42" s="242"/>
      <c r="F42" s="242"/>
      <c r="G42" s="179"/>
      <c r="H42" s="179"/>
      <c r="I42" s="179"/>
      <c r="J42" s="179"/>
      <c r="K42" s="179"/>
      <c r="L42" s="179"/>
      <c r="M42" s="179"/>
    </row>
    <row r="43" spans="3:13" ht="10.5">
      <c r="C43" s="242"/>
      <c r="D43" s="242"/>
      <c r="E43" s="242"/>
      <c r="F43" s="242"/>
      <c r="G43" s="245" t="s">
        <v>220</v>
      </c>
      <c r="H43" s="245"/>
      <c r="I43" s="244" t="s">
        <v>546</v>
      </c>
      <c r="J43" s="244"/>
      <c r="K43" s="244"/>
      <c r="L43" s="244"/>
      <c r="M43" s="244"/>
    </row>
    <row r="44" spans="3:13" ht="4.5" customHeight="1">
      <c r="C44" s="16"/>
      <c r="D44" s="16"/>
      <c r="E44" s="16"/>
      <c r="F44" s="16"/>
      <c r="G44" s="16"/>
      <c r="H44" s="16"/>
      <c r="I44" s="16"/>
      <c r="J44" s="16"/>
      <c r="K44" s="16"/>
      <c r="L44" s="16"/>
      <c r="M44" s="16"/>
    </row>
  </sheetData>
  <sheetProtection/>
  <mergeCells count="53">
    <mergeCell ref="C43:F43"/>
    <mergeCell ref="C38:F38"/>
    <mergeCell ref="C39:F39"/>
    <mergeCell ref="C40:F40"/>
    <mergeCell ref="C41:F41"/>
    <mergeCell ref="C42:F42"/>
    <mergeCell ref="C34:F34"/>
    <mergeCell ref="C35:F35"/>
    <mergeCell ref="C36:F36"/>
    <mergeCell ref="C37:F37"/>
    <mergeCell ref="C33:F33"/>
    <mergeCell ref="C24:F24"/>
    <mergeCell ref="C25:F25"/>
    <mergeCell ref="C26:F26"/>
    <mergeCell ref="C27:F27"/>
    <mergeCell ref="C28:F28"/>
    <mergeCell ref="C29:F29"/>
    <mergeCell ref="C30:F30"/>
    <mergeCell ref="C31:F31"/>
    <mergeCell ref="C32:F32"/>
    <mergeCell ref="C23:F23"/>
    <mergeCell ref="C14:F14"/>
    <mergeCell ref="C15:F15"/>
    <mergeCell ref="C16:F16"/>
    <mergeCell ref="C17:F17"/>
    <mergeCell ref="C18:F18"/>
    <mergeCell ref="C19:F19"/>
    <mergeCell ref="C20:F20"/>
    <mergeCell ref="C21:F21"/>
    <mergeCell ref="C22:F22"/>
    <mergeCell ref="I38:M38"/>
    <mergeCell ref="I39:M39"/>
    <mergeCell ref="G41:M41"/>
    <mergeCell ref="I43:M43"/>
    <mergeCell ref="G43:H43"/>
    <mergeCell ref="G38:H38"/>
    <mergeCell ref="G39:H39"/>
    <mergeCell ref="G24:M25"/>
    <mergeCell ref="G27:M30"/>
    <mergeCell ref="G15:M15"/>
    <mergeCell ref="G32:M36"/>
    <mergeCell ref="G21:M22"/>
    <mergeCell ref="G19:M19"/>
    <mergeCell ref="G16:M16"/>
    <mergeCell ref="G17:M17"/>
    <mergeCell ref="C9:F9"/>
    <mergeCell ref="C10:F10"/>
    <mergeCell ref="C11:F11"/>
    <mergeCell ref="C12:F12"/>
    <mergeCell ref="C13:F13"/>
    <mergeCell ref="B3:F3"/>
    <mergeCell ref="G9:M11"/>
    <mergeCell ref="G13:M13"/>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outlineLevelRow="1"/>
  <cols>
    <col min="1" max="1" width="3.83203125" style="26" customWidth="1"/>
    <col min="2" max="2" width="2.33203125" style="26" customWidth="1"/>
    <col min="3" max="3" width="5.83203125" style="26" bestFit="1" customWidth="1"/>
    <col min="4" max="4" width="20.83203125" style="26" customWidth="1"/>
    <col min="5" max="5" width="2.33203125" style="26" customWidth="1"/>
    <col min="6" max="6" width="6.5" style="26" bestFit="1" customWidth="1"/>
    <col min="7" max="7" width="20.83203125" style="26" customWidth="1"/>
    <col min="8" max="8" width="2.33203125" style="26" customWidth="1"/>
    <col min="9" max="9" width="5.83203125" style="26" bestFit="1" customWidth="1"/>
    <col min="10" max="10" width="20.83203125" style="26" customWidth="1"/>
    <col min="11" max="11" width="2.33203125" style="26" customWidth="1"/>
    <col min="12" max="12" width="5.66015625" style="26" bestFit="1" customWidth="1"/>
    <col min="13" max="13" width="20.83203125" style="26" customWidth="1"/>
    <col min="14" max="15" width="2.33203125" style="26" customWidth="1"/>
    <col min="16" max="16" width="20.83203125" style="26" customWidth="1"/>
    <col min="17" max="16384" width="2.33203125" style="26" customWidth="1"/>
  </cols>
  <sheetData>
    <row r="1" spans="1:2" ht="18">
      <c r="A1" s="184"/>
      <c r="B1" s="28" t="s">
        <v>570</v>
      </c>
    </row>
    <row r="2" ht="15">
      <c r="B2" s="27" t="str">
        <f>Model_Name</f>
        <v>SMA 8. Calculation Formulae - Best Practice Model Example</v>
      </c>
    </row>
    <row r="3" spans="2:12" ht="10.5">
      <c r="B3" s="249" t="s">
        <v>49</v>
      </c>
      <c r="C3" s="249"/>
      <c r="D3" s="249"/>
      <c r="E3" s="112"/>
      <c r="F3" s="112"/>
      <c r="G3" s="112"/>
      <c r="H3" s="112"/>
      <c r="I3" s="112"/>
      <c r="J3" s="112"/>
      <c r="K3" s="112"/>
      <c r="L3" s="112"/>
    </row>
    <row r="4" spans="1:11" ht="12.75">
      <c r="A4" s="29" t="s">
        <v>52</v>
      </c>
      <c r="B4" s="250" t="s">
        <v>54</v>
      </c>
      <c r="C4" s="250"/>
      <c r="D4" s="251" t="s">
        <v>103</v>
      </c>
      <c r="E4" s="251"/>
      <c r="F4" s="248" t="s">
        <v>206</v>
      </c>
      <c r="G4" s="248"/>
      <c r="H4" s="248" t="s">
        <v>207</v>
      </c>
      <c r="I4" s="248"/>
      <c r="J4" s="248" t="s">
        <v>208</v>
      </c>
      <c r="K4" s="248"/>
    </row>
    <row r="5" ht="10.5"/>
    <row r="6" ht="10.5"/>
    <row r="7" ht="12.75">
      <c r="B7" s="185" t="s">
        <v>547</v>
      </c>
    </row>
    <row r="8" ht="10.5"/>
    <row r="9" ht="10.5">
      <c r="D9" s="186" t="s">
        <v>548</v>
      </c>
    </row>
    <row r="10" ht="10.5"/>
    <row r="11" ht="10.5"/>
    <row r="12" ht="12.75">
      <c r="B12" s="185" t="s">
        <v>549</v>
      </c>
    </row>
    <row r="13" ht="10.5"/>
    <row r="14" ht="17.25" customHeight="1">
      <c r="D14" s="187" t="b">
        <v>0</v>
      </c>
    </row>
    <row r="15" ht="10.5"/>
    <row r="17" ht="12.75">
      <c r="B17" s="185" t="s">
        <v>550</v>
      </c>
    </row>
    <row r="19" spans="4:16" ht="10.5" outlineLevel="1">
      <c r="D19" s="189" t="s">
        <v>551</v>
      </c>
      <c r="G19" s="192" t="s">
        <v>551</v>
      </c>
      <c r="J19" s="195" t="s">
        <v>551</v>
      </c>
      <c r="M19" s="198" t="s">
        <v>551</v>
      </c>
      <c r="P19" s="201" t="s">
        <v>551</v>
      </c>
    </row>
    <row r="20" spans="4:16" ht="10.5">
      <c r="D20" s="188" t="s">
        <v>553</v>
      </c>
      <c r="G20" s="191" t="s">
        <v>554</v>
      </c>
      <c r="J20" s="194" t="s">
        <v>555</v>
      </c>
      <c r="M20" s="197" t="s">
        <v>10</v>
      </c>
      <c r="P20" s="200" t="str">
        <f>IF($D$14,"Inactive Component","Not Used")</f>
        <v>Not Used</v>
      </c>
    </row>
    <row r="21" spans="4:16" ht="10.5" outlineLevel="1">
      <c r="D21" s="190" t="s">
        <v>552</v>
      </c>
      <c r="G21" s="193" t="s">
        <v>552</v>
      </c>
      <c r="J21" s="196" t="s">
        <v>552</v>
      </c>
      <c r="M21" s="199" t="s">
        <v>552</v>
      </c>
      <c r="P21" s="202" t="s">
        <v>552</v>
      </c>
    </row>
    <row r="24" ht="12.75">
      <c r="B24" s="185" t="s">
        <v>556</v>
      </c>
    </row>
    <row r="26" spans="3:10" ht="10.5" outlineLevel="1">
      <c r="C26" s="203" t="b">
        <v>1</v>
      </c>
      <c r="D26" s="192" t="s">
        <v>558</v>
      </c>
      <c r="F26" s="203" t="b">
        <f>$C$26</f>
        <v>1</v>
      </c>
      <c r="G26" s="189" t="s">
        <v>560</v>
      </c>
      <c r="I26" s="203" t="b">
        <f>$F$26</f>
        <v>1</v>
      </c>
      <c r="J26" s="195" t="s">
        <v>562</v>
      </c>
    </row>
    <row r="27" spans="4:10" ht="10.5">
      <c r="D27" s="191" t="s">
        <v>557</v>
      </c>
      <c r="G27" s="188" t="s">
        <v>559</v>
      </c>
      <c r="J27" s="194" t="s">
        <v>561</v>
      </c>
    </row>
    <row r="28" spans="3:10" ht="10.5" outlineLevel="1">
      <c r="C28" s="203">
        <f>IF(Fcast_TO!J$12=1,Fcast_TA!J18,Fcast_TO!I18*(1+Fcast_TA!J18))</f>
        <v>125</v>
      </c>
      <c r="D28" s="204">
        <f>IF(ISERROR(C28),"Error",C28)</f>
        <v>125</v>
      </c>
      <c r="F28" s="203" t="b">
        <f>Fcast_TO!J$12=1</f>
        <v>1</v>
      </c>
      <c r="G28" s="190" t="b">
        <f>IF(ISERROR(F28),"Error",F28)</f>
        <v>1</v>
      </c>
      <c r="I28" s="203">
        <f>Fcast_TO!J$12</f>
        <v>1</v>
      </c>
      <c r="J28" s="205">
        <f>IF(ISERROR(I28),"Error",I28)</f>
        <v>1</v>
      </c>
    </row>
    <row r="30" spans="9:10" ht="10.5" outlineLevel="1">
      <c r="I30" s="203" t="b">
        <f>$F$26</f>
        <v>1</v>
      </c>
      <c r="J30" s="198" t="s">
        <v>563</v>
      </c>
    </row>
    <row r="31" ht="10.5">
      <c r="J31" s="197">
        <v>1</v>
      </c>
    </row>
    <row r="32" spans="9:10" ht="10.5" outlineLevel="1">
      <c r="I32" s="203">
        <f>1</f>
        <v>1</v>
      </c>
      <c r="J32" s="199">
        <f>IF(ISERROR(I32),"Error",I32)</f>
        <v>1</v>
      </c>
    </row>
    <row r="34" spans="6:7" ht="10.5" outlineLevel="1">
      <c r="F34" s="203" t="b">
        <f>IF(NOT($D$14),TRUE,IF(ISERROR($C$26*$F$28),FALSE,$C$26*$F$28))</f>
        <v>1</v>
      </c>
      <c r="G34" s="195" t="s">
        <v>565</v>
      </c>
    </row>
    <row r="35" ht="10.5">
      <c r="G35" s="194" t="s">
        <v>564</v>
      </c>
    </row>
    <row r="36" spans="6:7" ht="10.5" outlineLevel="1">
      <c r="F36" s="203">
        <f>Fcast_TA!J18</f>
        <v>125</v>
      </c>
      <c r="G36" s="206">
        <f>IF(ISERROR(F36),"Error",F36)</f>
        <v>125</v>
      </c>
    </row>
    <row r="38" spans="6:10" ht="10.5" outlineLevel="1">
      <c r="F38" s="203" t="b">
        <f>IF(NOT($D$14),TRUE,IF(ISERROR($C$26*NOT($F$28)),FALSE,$C$26*NOT($F$28)))</f>
        <v>1</v>
      </c>
      <c r="G38" s="189" t="s">
        <v>567</v>
      </c>
      <c r="I38" s="203" t="b">
        <f>$F$38</f>
        <v>1</v>
      </c>
      <c r="J38" s="195" t="s">
        <v>562</v>
      </c>
    </row>
    <row r="39" spans="7:10" ht="10.5">
      <c r="G39" s="188" t="s">
        <v>566</v>
      </c>
      <c r="J39" s="194" t="s">
        <v>568</v>
      </c>
    </row>
    <row r="40" spans="6:10" ht="10.5" outlineLevel="1">
      <c r="F40" s="203">
        <f>Fcast_TO!I18*(1+Fcast_TA!J18)</f>
        <v>0</v>
      </c>
      <c r="G40" s="190">
        <f>IF(ISERROR(F40),"Error",F40)</f>
        <v>0</v>
      </c>
      <c r="I40" s="203">
        <f>Fcast_TO!I18</f>
        <v>0</v>
      </c>
      <c r="J40" s="207">
        <f>IF(ISERROR(I40),"Error",I40)</f>
        <v>0</v>
      </c>
    </row>
    <row r="42" spans="9:13" ht="10.5" outlineLevel="1">
      <c r="I42" s="203" t="b">
        <f>$F$38</f>
        <v>1</v>
      </c>
      <c r="J42" s="189" t="s">
        <v>563</v>
      </c>
      <c r="L42" s="203" t="b">
        <f>$I$42</f>
        <v>1</v>
      </c>
      <c r="M42" s="198" t="s">
        <v>562</v>
      </c>
    </row>
    <row r="43" spans="10:13" ht="10.5">
      <c r="J43" s="188" t="s">
        <v>569</v>
      </c>
      <c r="M43" s="197">
        <v>1</v>
      </c>
    </row>
    <row r="44" spans="9:13" ht="10.5" outlineLevel="1">
      <c r="I44" s="203">
        <f>1+Fcast_TA!J18</f>
        <v>126</v>
      </c>
      <c r="J44" s="190">
        <f>IF(ISERROR(I44),"Error",I44)</f>
        <v>126</v>
      </c>
      <c r="L44" s="203">
        <f>1</f>
        <v>1</v>
      </c>
      <c r="M44" s="199">
        <f>IF(ISERROR(L44),"Error",L44)</f>
        <v>1</v>
      </c>
    </row>
    <row r="46" spans="12:13" ht="10.5" outlineLevel="1">
      <c r="L46" s="203" t="b">
        <f>$I$42</f>
        <v>1</v>
      </c>
      <c r="M46" s="195" t="s">
        <v>563</v>
      </c>
    </row>
    <row r="47" ht="10.5">
      <c r="M47" s="194" t="s">
        <v>564</v>
      </c>
    </row>
    <row r="48" spans="12:13" ht="10.5" outlineLevel="1">
      <c r="L48" s="203">
        <f>Fcast_TA!J18</f>
        <v>125</v>
      </c>
      <c r="M48" s="206">
        <f>IF(ISERROR(L48),"Error",L48)</f>
        <v>125</v>
      </c>
    </row>
  </sheetData>
  <sheetProtection/>
  <mergeCells count="6">
    <mergeCell ref="J4:K4"/>
    <mergeCell ref="B3:D3"/>
    <mergeCell ref="B4:C4"/>
    <mergeCell ref="D4:E4"/>
    <mergeCell ref="F4:G4"/>
    <mergeCell ref="H4:I4"/>
  </mergeCells>
  <conditionalFormatting sqref="D27">
    <cfRule type="expression" priority="1" dxfId="98" stopIfTrue="1">
      <formula>NOT($C$26)</formula>
    </cfRule>
  </conditionalFormatting>
  <conditionalFormatting sqref="D26">
    <cfRule type="expression" priority="2" dxfId="99" stopIfTrue="1">
      <formula>NOT($C$26)</formula>
    </cfRule>
  </conditionalFormatting>
  <conditionalFormatting sqref="D28">
    <cfRule type="expression" priority="3" dxfId="99" stopIfTrue="1">
      <formula>NOT($C$26)</formula>
    </cfRule>
  </conditionalFormatting>
  <conditionalFormatting sqref="G27">
    <cfRule type="expression" priority="4" dxfId="98" stopIfTrue="1">
      <formula>NOT($F$26)</formula>
    </cfRule>
  </conditionalFormatting>
  <conditionalFormatting sqref="G26">
    <cfRule type="expression" priority="5" dxfId="99" stopIfTrue="1">
      <formula>NOT($F$26)</formula>
    </cfRule>
  </conditionalFormatting>
  <conditionalFormatting sqref="G28">
    <cfRule type="expression" priority="6" dxfId="99" stopIfTrue="1">
      <formula>NOT($F$26)</formula>
    </cfRule>
  </conditionalFormatting>
  <conditionalFormatting sqref="J27">
    <cfRule type="expression" priority="7" dxfId="98" stopIfTrue="1">
      <formula>NOT($I$26)</formula>
    </cfRule>
  </conditionalFormatting>
  <conditionalFormatting sqref="J26">
    <cfRule type="expression" priority="8" dxfId="99" stopIfTrue="1">
      <formula>NOT($I$26)</formula>
    </cfRule>
  </conditionalFormatting>
  <conditionalFormatting sqref="J28">
    <cfRule type="expression" priority="9" dxfId="99" stopIfTrue="1">
      <formula>NOT($I$26)</formula>
    </cfRule>
  </conditionalFormatting>
  <conditionalFormatting sqref="J31">
    <cfRule type="expression" priority="10" dxfId="98" stopIfTrue="1">
      <formula>NOT($I$30)</formula>
    </cfRule>
  </conditionalFormatting>
  <conditionalFormatting sqref="J30">
    <cfRule type="expression" priority="11" dxfId="99" stopIfTrue="1">
      <formula>NOT($I$30)</formula>
    </cfRule>
  </conditionalFormatting>
  <conditionalFormatting sqref="J32">
    <cfRule type="expression" priority="12" dxfId="99" stopIfTrue="1">
      <formula>NOT($I$30)</formula>
    </cfRule>
  </conditionalFormatting>
  <conditionalFormatting sqref="G35">
    <cfRule type="expression" priority="13" dxfId="98" stopIfTrue="1">
      <formula>NOT($F$34)</formula>
    </cfRule>
  </conditionalFormatting>
  <conditionalFormatting sqref="G34">
    <cfRule type="expression" priority="14" dxfId="99" stopIfTrue="1">
      <formula>NOT($F$34)</formula>
    </cfRule>
  </conditionalFormatting>
  <conditionalFormatting sqref="G36">
    <cfRule type="expression" priority="15" dxfId="99" stopIfTrue="1">
      <formula>NOT($F$34)</formula>
    </cfRule>
  </conditionalFormatting>
  <conditionalFormatting sqref="G39">
    <cfRule type="expression" priority="16" dxfId="98" stopIfTrue="1">
      <formula>NOT($F$38)</formula>
    </cfRule>
  </conditionalFormatting>
  <conditionalFormatting sqref="G38">
    <cfRule type="expression" priority="17" dxfId="99" stopIfTrue="1">
      <formula>NOT($F$38)</formula>
    </cfRule>
  </conditionalFormatting>
  <conditionalFormatting sqref="G40">
    <cfRule type="expression" priority="18" dxfId="99" stopIfTrue="1">
      <formula>NOT($F$38)</formula>
    </cfRule>
  </conditionalFormatting>
  <conditionalFormatting sqref="J39">
    <cfRule type="expression" priority="19" dxfId="98" stopIfTrue="1">
      <formula>NOT($I$38)</formula>
    </cfRule>
  </conditionalFormatting>
  <conditionalFormatting sqref="J38">
    <cfRule type="expression" priority="20" dxfId="99" stopIfTrue="1">
      <formula>NOT($I$38)</formula>
    </cfRule>
  </conditionalFormatting>
  <conditionalFormatting sqref="J40">
    <cfRule type="expression" priority="21" dxfId="99" stopIfTrue="1">
      <formula>NOT($I$38)</formula>
    </cfRule>
  </conditionalFormatting>
  <conditionalFormatting sqref="J43">
    <cfRule type="expression" priority="22" dxfId="98" stopIfTrue="1">
      <formula>NOT($I$42)</formula>
    </cfRule>
  </conditionalFormatting>
  <conditionalFormatting sqref="J42">
    <cfRule type="expression" priority="23" dxfId="99" stopIfTrue="1">
      <formula>NOT($I$42)</formula>
    </cfRule>
  </conditionalFormatting>
  <conditionalFormatting sqref="J44">
    <cfRule type="expression" priority="24" dxfId="99" stopIfTrue="1">
      <formula>NOT($I$42)</formula>
    </cfRule>
  </conditionalFormatting>
  <conditionalFormatting sqref="M43">
    <cfRule type="expression" priority="25" dxfId="98" stopIfTrue="1">
      <formula>NOT($L$42)</formula>
    </cfRule>
  </conditionalFormatting>
  <conditionalFormatting sqref="M42">
    <cfRule type="expression" priority="26" dxfId="99" stopIfTrue="1">
      <formula>NOT($L$42)</formula>
    </cfRule>
  </conditionalFormatting>
  <conditionalFormatting sqref="M44">
    <cfRule type="expression" priority="27" dxfId="99" stopIfTrue="1">
      <formula>NOT($L$42)</formula>
    </cfRule>
  </conditionalFormatting>
  <conditionalFormatting sqref="M47">
    <cfRule type="expression" priority="28" dxfId="98" stopIfTrue="1">
      <formula>NOT($L$46)</formula>
    </cfRule>
  </conditionalFormatting>
  <conditionalFormatting sqref="M46">
    <cfRule type="expression" priority="29" dxfId="99" stopIfTrue="1">
      <formula>NOT($L$46)</formula>
    </cfRule>
  </conditionalFormatting>
  <conditionalFormatting sqref="M48">
    <cfRule type="expression" priority="30" dxfId="99" stopIfTrue="1">
      <formula>NOT($L$46)</formula>
    </cfRule>
  </conditionalFormatting>
  <dataValidations count="1">
    <dataValidation type="custom" showErrorMessage="1" errorTitle="6 Cell Link" error="The value in an option button cell link must be either &quot;TRUE&quot; or &quot;FALSE&quot;" sqref="D14">
      <formula1>ISLOGICAL(D14)</formula1>
    </dataValidation>
  </dataValidations>
  <hyperlinks>
    <hyperlink ref="B3" location="HL_Home" tooltip="Go to Table of Contents" display="HL_Home"/>
    <hyperlink ref="A4" location="$B$5" tooltip="Go to Top of Sheet" display="$B$5"/>
    <hyperlink ref="D4" location="HL_Sheet_Main_6" tooltip="Go to Next Sheet" display="HL_Sheet_Main_6"/>
    <hyperlink ref="B4" location="HL_Sheet_Main" tooltip="Go to Previous Sheet" display="HL_Sheet_Main"/>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1200" verticalDpi="1200" orientation="landscape" paperSize="9" scale="88" r:id="rId4"/>
  <headerFooter alignWithMargins="0">
    <oddFooter>&amp;L&amp;F
&amp;A
Printed: &amp;T on &amp;D&amp;CPage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_8" tooltip="Go to Previous Sheet" display="HL_Sheet_Main_8"/>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8.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spans="2:6" ht="12.75">
      <c r="B5" s="11"/>
      <c r="C5" s="12"/>
      <c r="D5" s="209"/>
      <c r="E5" s="209"/>
      <c r="F5" s="13"/>
    </row>
    <row r="6" spans="1:6" ht="12.75">
      <c r="A6" s="10"/>
      <c r="B6" s="11"/>
      <c r="C6" s="12"/>
      <c r="D6" s="209"/>
      <c r="E6" s="209"/>
      <c r="F6" s="13"/>
    </row>
    <row r="7" spans="1:6" ht="12.75">
      <c r="A7" s="10"/>
      <c r="B7" s="30" t="s">
        <v>106</v>
      </c>
      <c r="C7" s="12"/>
      <c r="D7" s="209"/>
      <c r="E7" s="209"/>
      <c r="F7" s="13"/>
    </row>
    <row r="8" spans="1:6" ht="12.75">
      <c r="A8" s="10"/>
      <c r="B8" s="11"/>
      <c r="C8" s="12"/>
      <c r="D8" s="209"/>
      <c r="E8" s="209"/>
      <c r="F8" s="13"/>
    </row>
    <row r="9" spans="1:14" ht="12.75">
      <c r="A9" s="10"/>
      <c r="B9" s="11"/>
      <c r="C9" s="210"/>
      <c r="D9" s="32" t="s">
        <v>107</v>
      </c>
      <c r="E9" s="211"/>
      <c r="F9" s="212"/>
      <c r="G9" s="16"/>
      <c r="H9" s="32" t="s">
        <v>108</v>
      </c>
      <c r="I9" s="16"/>
      <c r="J9" s="16"/>
      <c r="K9" s="16"/>
      <c r="L9" s="16"/>
      <c r="M9" s="227" t="s">
        <v>109</v>
      </c>
      <c r="N9" s="227"/>
    </row>
    <row r="10" spans="1:6" ht="4.5" customHeight="1">
      <c r="A10" s="10"/>
      <c r="B10" s="11"/>
      <c r="C10" s="12"/>
      <c r="D10" s="209"/>
      <c r="E10" s="209"/>
      <c r="F10" s="13"/>
    </row>
    <row r="11" spans="1:6" ht="12.75">
      <c r="A11" s="10"/>
      <c r="B11" s="11"/>
      <c r="C11" s="12"/>
      <c r="D11" s="23" t="s">
        <v>303</v>
      </c>
      <c r="E11" s="209"/>
      <c r="F11" s="13"/>
    </row>
    <row r="12" spans="1:6" ht="4.5" customHeight="1">
      <c r="A12" s="10"/>
      <c r="B12" s="11"/>
      <c r="C12" s="12"/>
      <c r="D12" s="209"/>
      <c r="E12" s="209"/>
      <c r="F12" s="13"/>
    </row>
    <row r="13" spans="1:14" ht="12.75">
      <c r="A13" s="10"/>
      <c r="B13" s="11"/>
      <c r="C13" s="12"/>
      <c r="D13" s="226" t="s">
        <v>577</v>
      </c>
      <c r="E13" s="226"/>
      <c r="F13" s="226"/>
      <c r="G13" s="226"/>
      <c r="H13" s="226" t="s">
        <v>578</v>
      </c>
      <c r="I13" s="226"/>
      <c r="J13" s="226"/>
      <c r="K13" s="226"/>
      <c r="L13" s="226"/>
      <c r="M13" s="228" t="s">
        <v>577</v>
      </c>
      <c r="N13" s="228"/>
    </row>
    <row r="14" spans="1:6" ht="4.5" customHeight="1">
      <c r="A14" s="10"/>
      <c r="B14" s="11"/>
      <c r="C14" s="12"/>
      <c r="D14" s="209"/>
      <c r="E14" s="209"/>
      <c r="F14" s="13"/>
    </row>
    <row r="15" spans="1:14" ht="12.75">
      <c r="A15" s="10"/>
      <c r="B15" s="11"/>
      <c r="C15" s="12"/>
      <c r="D15" s="226" t="s">
        <v>547</v>
      </c>
      <c r="E15" s="226"/>
      <c r="F15" s="226"/>
      <c r="G15" s="226"/>
      <c r="H15" s="226" t="s">
        <v>579</v>
      </c>
      <c r="I15" s="226"/>
      <c r="J15" s="226"/>
      <c r="K15" s="226"/>
      <c r="L15" s="226"/>
      <c r="M15" s="229" t="s">
        <v>547</v>
      </c>
      <c r="N15" s="229"/>
    </row>
    <row r="16" spans="1:6" ht="4.5" customHeight="1">
      <c r="A16" s="10"/>
      <c r="B16" s="11"/>
      <c r="C16" s="12"/>
      <c r="D16" s="209"/>
      <c r="E16" s="209"/>
      <c r="F16" s="13"/>
    </row>
    <row r="17" spans="1:14" ht="12.75">
      <c r="A17" s="10"/>
      <c r="B17" s="11"/>
      <c r="C17" s="12"/>
      <c r="D17" s="226" t="s">
        <v>580</v>
      </c>
      <c r="E17" s="226"/>
      <c r="F17" s="226"/>
      <c r="G17" s="226"/>
      <c r="H17" s="226" t="s">
        <v>581</v>
      </c>
      <c r="I17" s="226"/>
      <c r="J17" s="226"/>
      <c r="K17" s="226"/>
      <c r="L17" s="226"/>
      <c r="M17" s="222" t="s">
        <v>580</v>
      </c>
      <c r="N17" s="222"/>
    </row>
    <row r="18" spans="1:12" ht="12.75">
      <c r="A18" s="10"/>
      <c r="B18" s="11"/>
      <c r="C18" s="12"/>
      <c r="D18" s="226"/>
      <c r="E18" s="226"/>
      <c r="F18" s="226"/>
      <c r="G18" s="226"/>
      <c r="H18" s="226"/>
      <c r="I18" s="226"/>
      <c r="J18" s="226"/>
      <c r="K18" s="226"/>
      <c r="L18" s="226"/>
    </row>
    <row r="19" spans="1:6" ht="4.5" customHeight="1">
      <c r="A19" s="10"/>
      <c r="B19" s="11"/>
      <c r="C19" s="12"/>
      <c r="D19" s="209"/>
      <c r="E19" s="209"/>
      <c r="F19" s="13"/>
    </row>
    <row r="20" spans="1:14" ht="12.75">
      <c r="A20" s="10"/>
      <c r="B20" s="11"/>
      <c r="C20" s="12"/>
      <c r="D20" s="226" t="s">
        <v>229</v>
      </c>
      <c r="E20" s="226"/>
      <c r="F20" s="226"/>
      <c r="G20" s="226"/>
      <c r="H20" s="226" t="s">
        <v>582</v>
      </c>
      <c r="I20" s="226"/>
      <c r="J20" s="226"/>
      <c r="K20" s="226"/>
      <c r="L20" s="226"/>
      <c r="M20" s="223" t="s">
        <v>229</v>
      </c>
      <c r="N20" s="223"/>
    </row>
    <row r="21" spans="1:6" ht="4.5" customHeight="1">
      <c r="A21" s="10"/>
      <c r="B21" s="11"/>
      <c r="C21" s="12"/>
      <c r="D21" s="209"/>
      <c r="E21" s="209"/>
      <c r="F21" s="13"/>
    </row>
    <row r="22" spans="1:6" ht="4.5" customHeight="1">
      <c r="A22" s="10"/>
      <c r="B22" s="11"/>
      <c r="C22" s="12"/>
      <c r="D22" s="209"/>
      <c r="E22" s="209"/>
      <c r="F22" s="13"/>
    </row>
    <row r="23" spans="1:14" ht="12.75">
      <c r="A23" s="10"/>
      <c r="B23" s="11"/>
      <c r="C23" s="12"/>
      <c r="D23" s="226" t="s">
        <v>110</v>
      </c>
      <c r="E23" s="226"/>
      <c r="F23" s="226"/>
      <c r="G23" s="226"/>
      <c r="H23" s="226" t="s">
        <v>583</v>
      </c>
      <c r="I23" s="226"/>
      <c r="J23" s="226"/>
      <c r="K23" s="226"/>
      <c r="L23" s="226"/>
      <c r="M23" s="253" t="s">
        <v>110</v>
      </c>
      <c r="N23" s="253"/>
    </row>
    <row r="24" spans="1:12" ht="12.75">
      <c r="A24" s="10"/>
      <c r="B24" s="11"/>
      <c r="C24" s="12"/>
      <c r="D24" s="226"/>
      <c r="E24" s="226"/>
      <c r="F24" s="226"/>
      <c r="G24" s="226"/>
      <c r="H24" s="226"/>
      <c r="I24" s="226"/>
      <c r="J24" s="226"/>
      <c r="K24" s="226"/>
      <c r="L24" s="226"/>
    </row>
    <row r="25" spans="1:6" ht="4.5" customHeight="1">
      <c r="A25" s="10"/>
      <c r="B25" s="11"/>
      <c r="C25" s="12"/>
      <c r="D25" s="209"/>
      <c r="E25" s="209"/>
      <c r="F25" s="13"/>
    </row>
    <row r="26" spans="1:6" ht="12.75">
      <c r="A26" s="10"/>
      <c r="B26" s="11"/>
      <c r="C26" s="12"/>
      <c r="D26" s="23" t="s">
        <v>304</v>
      </c>
      <c r="E26" s="209"/>
      <c r="F26" s="13"/>
    </row>
    <row r="27" spans="1:6" ht="4.5" customHeight="1">
      <c r="A27" s="10"/>
      <c r="B27" s="11"/>
      <c r="C27" s="12"/>
      <c r="D27" s="209"/>
      <c r="E27" s="209"/>
      <c r="F27" s="13"/>
    </row>
    <row r="28" spans="1:14" ht="12.75">
      <c r="A28" s="10"/>
      <c r="B28" s="11"/>
      <c r="C28" s="12"/>
      <c r="D28" s="226" t="s">
        <v>584</v>
      </c>
      <c r="E28" s="226"/>
      <c r="F28" s="226"/>
      <c r="G28" s="226"/>
      <c r="H28" s="226" t="s">
        <v>585</v>
      </c>
      <c r="I28" s="226"/>
      <c r="J28" s="226"/>
      <c r="K28" s="226"/>
      <c r="L28" s="226"/>
      <c r="M28" s="254"/>
      <c r="N28" s="255"/>
    </row>
    <row r="29" spans="1:6" ht="4.5" customHeight="1">
      <c r="A29" s="10"/>
      <c r="B29" s="11"/>
      <c r="C29" s="12"/>
      <c r="D29" s="209"/>
      <c r="E29" s="209"/>
      <c r="F29" s="13"/>
    </row>
    <row r="30" spans="1:14" ht="12.75">
      <c r="A30" s="10"/>
      <c r="B30" s="11"/>
      <c r="C30" s="12"/>
      <c r="D30" s="226" t="s">
        <v>586</v>
      </c>
      <c r="E30" s="226"/>
      <c r="F30" s="226"/>
      <c r="G30" s="226"/>
      <c r="H30" s="226" t="s">
        <v>587</v>
      </c>
      <c r="I30" s="226"/>
      <c r="J30" s="226"/>
      <c r="K30" s="226"/>
      <c r="L30" s="226"/>
      <c r="M30" s="256"/>
      <c r="N30" s="257"/>
    </row>
    <row r="31" spans="1:12" ht="12.75">
      <c r="A31" s="10"/>
      <c r="B31" s="11"/>
      <c r="C31" s="12"/>
      <c r="D31" s="226"/>
      <c r="E31" s="226"/>
      <c r="F31" s="226"/>
      <c r="G31" s="226"/>
      <c r="H31" s="226"/>
      <c r="I31" s="226"/>
      <c r="J31" s="226"/>
      <c r="K31" s="226"/>
      <c r="L31" s="226"/>
    </row>
    <row r="32" spans="1:6" ht="4.5" customHeight="1">
      <c r="A32" s="10"/>
      <c r="B32" s="11"/>
      <c r="C32" s="12"/>
      <c r="D32" s="209"/>
      <c r="E32" s="209"/>
      <c r="F32" s="13"/>
    </row>
    <row r="33" spans="1:14" ht="12.75">
      <c r="A33" s="10"/>
      <c r="B33" s="11"/>
      <c r="C33" s="12"/>
      <c r="D33" s="226" t="s">
        <v>588</v>
      </c>
      <c r="E33" s="226"/>
      <c r="F33" s="226"/>
      <c r="G33" s="226"/>
      <c r="H33" s="226" t="s">
        <v>589</v>
      </c>
      <c r="I33" s="226"/>
      <c r="J33" s="226"/>
      <c r="K33" s="226"/>
      <c r="L33" s="226"/>
      <c r="M33" s="258"/>
      <c r="N33" s="259"/>
    </row>
    <row r="34" spans="1:12" ht="12.75">
      <c r="A34" s="10"/>
      <c r="B34" s="11"/>
      <c r="C34" s="12"/>
      <c r="D34" s="226"/>
      <c r="E34" s="226"/>
      <c r="F34" s="226"/>
      <c r="G34" s="226"/>
      <c r="H34" s="226"/>
      <c r="I34" s="226"/>
      <c r="J34" s="226"/>
      <c r="K34" s="226"/>
      <c r="L34" s="226"/>
    </row>
    <row r="35" spans="1:14" ht="4.5" customHeight="1">
      <c r="A35" s="10"/>
      <c r="B35" s="11"/>
      <c r="C35" s="210"/>
      <c r="D35" s="211"/>
      <c r="E35" s="211"/>
      <c r="F35" s="212"/>
      <c r="G35" s="16"/>
      <c r="H35" s="16"/>
      <c r="I35" s="16"/>
      <c r="J35" s="16"/>
      <c r="K35" s="16"/>
      <c r="L35" s="16"/>
      <c r="M35" s="16"/>
      <c r="N35" s="16"/>
    </row>
    <row r="36" spans="1:6" ht="12.75">
      <c r="A36" s="10"/>
      <c r="B36" s="11"/>
      <c r="C36" s="12"/>
      <c r="D36" s="209"/>
      <c r="E36" s="209"/>
      <c r="F36" s="13"/>
    </row>
    <row r="37" spans="1:6" ht="12.75">
      <c r="A37" s="10"/>
      <c r="B37" s="11"/>
      <c r="C37" s="12"/>
      <c r="D37" s="209"/>
      <c r="E37" s="209"/>
      <c r="F37" s="13"/>
    </row>
    <row r="38" spans="1:14" ht="12.75">
      <c r="A38" s="10"/>
      <c r="B38" s="11"/>
      <c r="C38" s="210"/>
      <c r="D38" s="32" t="s">
        <v>111</v>
      </c>
      <c r="E38" s="211"/>
      <c r="F38" s="212"/>
      <c r="G38" s="16"/>
      <c r="H38" s="32" t="s">
        <v>112</v>
      </c>
      <c r="I38" s="16"/>
      <c r="J38" s="16"/>
      <c r="K38" s="16"/>
      <c r="L38" s="16"/>
      <c r="M38" s="227" t="s">
        <v>109</v>
      </c>
      <c r="N38" s="227"/>
    </row>
    <row r="39" spans="1:6" ht="4.5" customHeight="1">
      <c r="A39" s="10"/>
      <c r="B39" s="11"/>
      <c r="C39" s="12"/>
      <c r="D39" s="209"/>
      <c r="E39" s="209"/>
      <c r="F39" s="13"/>
    </row>
    <row r="40" spans="1:14" ht="12.75">
      <c r="A40" s="10"/>
      <c r="B40" s="11"/>
      <c r="C40" s="12"/>
      <c r="D40" s="226" t="s">
        <v>113</v>
      </c>
      <c r="E40" s="226"/>
      <c r="F40" s="226"/>
      <c r="G40" s="226"/>
      <c r="H40" s="226" t="s">
        <v>114</v>
      </c>
      <c r="I40" s="226"/>
      <c r="J40" s="226"/>
      <c r="K40" s="226"/>
      <c r="L40" s="226"/>
      <c r="M40" s="253" t="s">
        <v>305</v>
      </c>
      <c r="N40" s="253"/>
    </row>
    <row r="41" spans="1:6" ht="4.5" customHeight="1">
      <c r="A41" s="10"/>
      <c r="B41" s="11"/>
      <c r="C41" s="12"/>
      <c r="D41" s="209"/>
      <c r="E41" s="209"/>
      <c r="F41" s="13"/>
    </row>
    <row r="42" spans="1:14" ht="12.75">
      <c r="A42" s="10"/>
      <c r="B42" s="11"/>
      <c r="C42" s="12"/>
      <c r="D42" s="226" t="s">
        <v>115</v>
      </c>
      <c r="E42" s="226"/>
      <c r="F42" s="226"/>
      <c r="G42" s="226"/>
      <c r="H42" s="226" t="s">
        <v>116</v>
      </c>
      <c r="I42" s="226"/>
      <c r="J42" s="226"/>
      <c r="K42" s="226"/>
      <c r="L42" s="226"/>
      <c r="M42" s="253" t="s">
        <v>306</v>
      </c>
      <c r="N42" s="253"/>
    </row>
    <row r="43" spans="1:6" ht="4.5" customHeight="1">
      <c r="A43" s="10"/>
      <c r="B43" s="11"/>
      <c r="C43" s="12"/>
      <c r="D43" s="209"/>
      <c r="E43" s="209"/>
      <c r="F43" s="13"/>
    </row>
    <row r="44" spans="1:14" ht="12.75">
      <c r="A44" s="10"/>
      <c r="B44" s="11"/>
      <c r="C44" s="12"/>
      <c r="D44" s="226" t="s">
        <v>117</v>
      </c>
      <c r="E44" s="226"/>
      <c r="F44" s="226"/>
      <c r="G44" s="226"/>
      <c r="H44" s="226" t="s">
        <v>118</v>
      </c>
      <c r="I44" s="226"/>
      <c r="J44" s="226"/>
      <c r="K44" s="226"/>
      <c r="L44" s="226"/>
      <c r="M44" s="253" t="s">
        <v>119</v>
      </c>
      <c r="N44" s="253"/>
    </row>
    <row r="45" spans="1:6" ht="4.5" customHeight="1">
      <c r="A45" s="10"/>
      <c r="B45" s="11"/>
      <c r="C45" s="12"/>
      <c r="D45" s="209"/>
      <c r="E45" s="209"/>
      <c r="F45" s="13"/>
    </row>
    <row r="46" spans="1:14" ht="12.75">
      <c r="A46" s="10"/>
      <c r="B46" s="11"/>
      <c r="C46" s="12"/>
      <c r="D46" s="226" t="s">
        <v>120</v>
      </c>
      <c r="E46" s="226"/>
      <c r="F46" s="226"/>
      <c r="G46" s="226"/>
      <c r="H46" s="226" t="s">
        <v>121</v>
      </c>
      <c r="I46" s="226"/>
      <c r="J46" s="226"/>
      <c r="K46" s="226"/>
      <c r="L46" s="226"/>
      <c r="M46" s="260" t="s">
        <v>52</v>
      </c>
      <c r="N46" s="260"/>
    </row>
    <row r="47" spans="1:6" ht="4.5" customHeight="1">
      <c r="A47" s="10"/>
      <c r="B47" s="11"/>
      <c r="C47" s="12"/>
      <c r="D47" s="209"/>
      <c r="E47" s="209"/>
      <c r="F47" s="13"/>
    </row>
    <row r="48" spans="1:14" ht="12.75">
      <c r="A48" s="10"/>
      <c r="B48" s="11"/>
      <c r="C48" s="12"/>
      <c r="D48" s="226" t="s">
        <v>122</v>
      </c>
      <c r="E48" s="226"/>
      <c r="F48" s="226"/>
      <c r="G48" s="226"/>
      <c r="H48" s="226" t="s">
        <v>123</v>
      </c>
      <c r="I48" s="226"/>
      <c r="J48" s="226"/>
      <c r="K48" s="226"/>
      <c r="L48" s="226"/>
      <c r="M48" s="260" t="s">
        <v>54</v>
      </c>
      <c r="N48" s="260"/>
    </row>
    <row r="49" spans="1:6" ht="4.5" customHeight="1">
      <c r="A49" s="10"/>
      <c r="B49" s="11"/>
      <c r="C49" s="12"/>
      <c r="D49" s="209"/>
      <c r="E49" s="209"/>
      <c r="F49" s="13"/>
    </row>
    <row r="50" spans="1:14" ht="12.75">
      <c r="A50" s="10"/>
      <c r="B50" s="11"/>
      <c r="C50" s="12"/>
      <c r="D50" s="226" t="s">
        <v>124</v>
      </c>
      <c r="E50" s="226"/>
      <c r="F50" s="226"/>
      <c r="G50" s="226"/>
      <c r="H50" s="226" t="s">
        <v>307</v>
      </c>
      <c r="I50" s="226"/>
      <c r="J50" s="226"/>
      <c r="K50" s="226"/>
      <c r="L50" s="226"/>
      <c r="M50" s="260" t="s">
        <v>103</v>
      </c>
      <c r="N50" s="260"/>
    </row>
    <row r="51" spans="1:14" ht="4.5" customHeight="1">
      <c r="A51" s="10"/>
      <c r="B51" s="11"/>
      <c r="C51" s="210"/>
      <c r="D51" s="211"/>
      <c r="E51" s="211"/>
      <c r="F51" s="212"/>
      <c r="G51" s="16"/>
      <c r="H51" s="16"/>
      <c r="I51" s="16"/>
      <c r="J51" s="16"/>
      <c r="K51" s="16"/>
      <c r="L51" s="16"/>
      <c r="M51" s="16"/>
      <c r="N51" s="16"/>
    </row>
    <row r="52" spans="1:6" ht="12.75">
      <c r="A52" s="10"/>
      <c r="B52" s="11"/>
      <c r="C52" s="12"/>
      <c r="D52" s="209"/>
      <c r="E52" s="209"/>
      <c r="F52" s="13"/>
    </row>
    <row r="53" spans="1:6" ht="12.75">
      <c r="A53" s="10"/>
      <c r="B53" s="11"/>
      <c r="C53" s="12"/>
      <c r="D53" s="209"/>
      <c r="E53" s="209"/>
      <c r="F53" s="13"/>
    </row>
    <row r="54" spans="1:6" ht="12.75">
      <c r="A54" s="10"/>
      <c r="B54" s="30" t="s">
        <v>125</v>
      </c>
      <c r="C54" s="12"/>
      <c r="D54" s="209"/>
      <c r="E54" s="209"/>
      <c r="F54" s="13"/>
    </row>
    <row r="55" spans="1:6" ht="12.75">
      <c r="A55" s="10"/>
      <c r="B55" s="11"/>
      <c r="C55" s="12"/>
      <c r="D55" s="209"/>
      <c r="E55" s="209"/>
      <c r="F55" s="13"/>
    </row>
    <row r="56" spans="1:14" ht="12.75">
      <c r="A56" s="10"/>
      <c r="B56" s="11"/>
      <c r="C56" s="210"/>
      <c r="D56" s="32" t="s">
        <v>308</v>
      </c>
      <c r="E56" s="211"/>
      <c r="F56" s="212"/>
      <c r="G56" s="16"/>
      <c r="H56" s="32" t="s">
        <v>126</v>
      </c>
      <c r="I56" s="16"/>
      <c r="J56" s="16"/>
      <c r="K56" s="16"/>
      <c r="L56" s="16"/>
      <c r="M56" s="227" t="s">
        <v>309</v>
      </c>
      <c r="N56" s="227"/>
    </row>
    <row r="57" spans="1:6" ht="4.5" customHeight="1">
      <c r="A57" s="10"/>
      <c r="B57" s="11"/>
      <c r="C57" s="12"/>
      <c r="D57" s="209"/>
      <c r="E57" s="209"/>
      <c r="F57" s="13"/>
    </row>
    <row r="58" spans="1:14" ht="12.75">
      <c r="A58" s="10"/>
      <c r="B58" s="11"/>
      <c r="C58" s="12"/>
      <c r="D58" s="226" t="s">
        <v>310</v>
      </c>
      <c r="E58" s="226"/>
      <c r="F58" s="226"/>
      <c r="G58" s="226"/>
      <c r="H58" s="226" t="s">
        <v>127</v>
      </c>
      <c r="I58" s="226"/>
      <c r="J58" s="226"/>
      <c r="K58" s="226"/>
      <c r="L58" s="226"/>
      <c r="M58" s="225" t="s">
        <v>311</v>
      </c>
      <c r="N58" s="225"/>
    </row>
    <row r="59" spans="1:6" ht="4.5" customHeight="1">
      <c r="A59" s="10"/>
      <c r="B59" s="11"/>
      <c r="C59" s="12"/>
      <c r="D59" s="209"/>
      <c r="E59" s="209"/>
      <c r="F59" s="13"/>
    </row>
    <row r="60" spans="1:14" ht="12.75">
      <c r="A60" s="10"/>
      <c r="B60" s="11"/>
      <c r="C60" s="12"/>
      <c r="D60" s="226" t="s">
        <v>132</v>
      </c>
      <c r="E60" s="226"/>
      <c r="F60" s="226"/>
      <c r="G60" s="226"/>
      <c r="H60" s="226" t="s">
        <v>133</v>
      </c>
      <c r="I60" s="226"/>
      <c r="J60" s="226"/>
      <c r="K60" s="226"/>
      <c r="L60" s="226"/>
      <c r="M60" s="225" t="s">
        <v>134</v>
      </c>
      <c r="N60" s="225"/>
    </row>
    <row r="61" spans="1:14" ht="4.5" customHeight="1">
      <c r="A61" s="10"/>
      <c r="B61" s="11"/>
      <c r="C61" s="213"/>
      <c r="D61" s="214"/>
      <c r="E61" s="214"/>
      <c r="F61" s="215"/>
      <c r="G61" s="18"/>
      <c r="H61" s="18"/>
      <c r="I61" s="18"/>
      <c r="J61" s="18"/>
      <c r="K61" s="18"/>
      <c r="L61" s="18"/>
      <c r="M61" s="18"/>
      <c r="N61" s="18"/>
    </row>
    <row r="62" spans="1:6" ht="4.5" customHeight="1">
      <c r="A62" s="10"/>
      <c r="B62" s="11"/>
      <c r="C62" s="12"/>
      <c r="D62" s="209"/>
      <c r="E62" s="209"/>
      <c r="F62" s="13"/>
    </row>
    <row r="63" spans="1:14" ht="12.75">
      <c r="A63" s="10"/>
      <c r="B63" s="11"/>
      <c r="C63" s="12"/>
      <c r="D63" s="226" t="s">
        <v>128</v>
      </c>
      <c r="E63" s="226"/>
      <c r="F63" s="226"/>
      <c r="G63" s="226"/>
      <c r="H63" s="226" t="s">
        <v>129</v>
      </c>
      <c r="I63" s="226"/>
      <c r="J63" s="226"/>
      <c r="K63" s="226"/>
      <c r="L63" s="226"/>
      <c r="M63" s="225" t="s">
        <v>104</v>
      </c>
      <c r="N63" s="225"/>
    </row>
    <row r="64" spans="1:6" ht="4.5" customHeight="1">
      <c r="A64" s="10"/>
      <c r="B64" s="11"/>
      <c r="C64" s="12"/>
      <c r="D64" s="209"/>
      <c r="E64" s="209"/>
      <c r="F64" s="13"/>
    </row>
    <row r="65" spans="1:14" ht="12.75">
      <c r="A65" s="10"/>
      <c r="B65" s="11"/>
      <c r="C65" s="12"/>
      <c r="D65" s="226" t="s">
        <v>130</v>
      </c>
      <c r="E65" s="226"/>
      <c r="F65" s="226"/>
      <c r="G65" s="226"/>
      <c r="H65" s="226" t="s">
        <v>131</v>
      </c>
      <c r="I65" s="226"/>
      <c r="J65" s="226"/>
      <c r="K65" s="226"/>
      <c r="L65" s="226"/>
      <c r="M65" s="225" t="s">
        <v>105</v>
      </c>
      <c r="N65" s="225"/>
    </row>
    <row r="66" spans="1:14" ht="4.5" customHeight="1">
      <c r="A66" s="10"/>
      <c r="B66" s="11"/>
      <c r="C66" s="213"/>
      <c r="D66" s="214"/>
      <c r="E66" s="214"/>
      <c r="F66" s="215"/>
      <c r="G66" s="18"/>
      <c r="H66" s="18"/>
      <c r="I66" s="18"/>
      <c r="J66" s="18"/>
      <c r="K66" s="18"/>
      <c r="L66" s="18"/>
      <c r="M66" s="18"/>
      <c r="N66" s="18"/>
    </row>
    <row r="67" spans="1:6" ht="4.5" customHeight="1">
      <c r="A67" s="10"/>
      <c r="B67" s="11"/>
      <c r="C67" s="12"/>
      <c r="D67" s="209"/>
      <c r="E67" s="209"/>
      <c r="F67" s="13"/>
    </row>
    <row r="68" spans="1:14" ht="12.75">
      <c r="A68" s="10"/>
      <c r="B68" s="11"/>
      <c r="C68" s="12"/>
      <c r="D68" s="226" t="s">
        <v>312</v>
      </c>
      <c r="E68" s="226"/>
      <c r="F68" s="226"/>
      <c r="G68" s="226"/>
      <c r="H68" s="226" t="s">
        <v>138</v>
      </c>
      <c r="I68" s="226"/>
      <c r="J68" s="226"/>
      <c r="K68" s="226"/>
      <c r="L68" s="226"/>
      <c r="M68" s="225" t="s">
        <v>139</v>
      </c>
      <c r="N68" s="225"/>
    </row>
    <row r="69" spans="1:6" ht="4.5" customHeight="1">
      <c r="A69" s="10"/>
      <c r="B69" s="11"/>
      <c r="C69" s="12"/>
      <c r="D69" s="209"/>
      <c r="E69" s="209"/>
      <c r="F69" s="13"/>
    </row>
    <row r="70" spans="1:14" ht="12.75">
      <c r="A70" s="10"/>
      <c r="B70" s="11"/>
      <c r="C70" s="12"/>
      <c r="D70" s="226" t="s">
        <v>313</v>
      </c>
      <c r="E70" s="226"/>
      <c r="F70" s="226"/>
      <c r="G70" s="226"/>
      <c r="H70" s="226" t="s">
        <v>314</v>
      </c>
      <c r="I70" s="226"/>
      <c r="J70" s="226"/>
      <c r="K70" s="226"/>
      <c r="L70" s="226"/>
      <c r="M70" s="225" t="s">
        <v>315</v>
      </c>
      <c r="N70" s="225"/>
    </row>
    <row r="71" spans="1:12" ht="12.75">
      <c r="A71" s="10"/>
      <c r="B71" s="11"/>
      <c r="C71" s="12"/>
      <c r="D71" s="226"/>
      <c r="E71" s="226"/>
      <c r="F71" s="226"/>
      <c r="G71" s="226"/>
      <c r="H71" s="226"/>
      <c r="I71" s="226"/>
      <c r="J71" s="226"/>
      <c r="K71" s="226"/>
      <c r="L71" s="226"/>
    </row>
    <row r="72" spans="1:14" ht="4.5" customHeight="1">
      <c r="A72" s="10"/>
      <c r="B72" s="11"/>
      <c r="C72" s="213"/>
      <c r="D72" s="214"/>
      <c r="E72" s="214"/>
      <c r="F72" s="215"/>
      <c r="G72" s="18"/>
      <c r="H72" s="18"/>
      <c r="I72" s="18"/>
      <c r="J72" s="18"/>
      <c r="K72" s="18"/>
      <c r="L72" s="18"/>
      <c r="M72" s="18"/>
      <c r="N72" s="18"/>
    </row>
    <row r="73" spans="1:6" ht="4.5" customHeight="1">
      <c r="A73" s="10"/>
      <c r="B73" s="11"/>
      <c r="C73" s="12"/>
      <c r="D73" s="209"/>
      <c r="E73" s="209"/>
      <c r="F73" s="13"/>
    </row>
    <row r="74" spans="1:14" ht="12.75">
      <c r="A74" s="10"/>
      <c r="B74" s="11"/>
      <c r="C74" s="12"/>
      <c r="D74" s="226" t="s">
        <v>140</v>
      </c>
      <c r="E74" s="226"/>
      <c r="F74" s="226"/>
      <c r="G74" s="226"/>
      <c r="H74" s="226" t="s">
        <v>141</v>
      </c>
      <c r="I74" s="226"/>
      <c r="J74" s="226"/>
      <c r="K74" s="226"/>
      <c r="L74" s="226"/>
      <c r="M74" s="225" t="s">
        <v>597</v>
      </c>
      <c r="N74" s="225"/>
    </row>
    <row r="75" spans="1:6" ht="4.5" customHeight="1">
      <c r="A75" s="10"/>
      <c r="B75" s="11"/>
      <c r="C75" s="12"/>
      <c r="D75" s="209"/>
      <c r="E75" s="209"/>
      <c r="F75" s="13"/>
    </row>
    <row r="76" spans="1:14" ht="12.75">
      <c r="A76" s="10"/>
      <c r="B76" s="11"/>
      <c r="C76" s="12"/>
      <c r="D76" s="226" t="s">
        <v>316</v>
      </c>
      <c r="E76" s="226"/>
      <c r="F76" s="226"/>
      <c r="G76" s="226"/>
      <c r="H76" s="226" t="s">
        <v>317</v>
      </c>
      <c r="I76" s="226"/>
      <c r="J76" s="226"/>
      <c r="K76" s="226"/>
      <c r="L76" s="226"/>
      <c r="M76" s="225" t="s">
        <v>318</v>
      </c>
      <c r="N76" s="225"/>
    </row>
    <row r="77" spans="1:12" ht="12.75">
      <c r="A77" s="10"/>
      <c r="B77" s="11"/>
      <c r="C77" s="12"/>
      <c r="D77" s="226"/>
      <c r="E77" s="226"/>
      <c r="F77" s="226"/>
      <c r="G77" s="226"/>
      <c r="H77" s="226"/>
      <c r="I77" s="226"/>
      <c r="J77" s="226"/>
      <c r="K77" s="226"/>
      <c r="L77" s="226"/>
    </row>
    <row r="78" spans="1:14" ht="4.5" customHeight="1">
      <c r="A78" s="10"/>
      <c r="B78" s="11"/>
      <c r="C78" s="213"/>
      <c r="D78" s="214"/>
      <c r="E78" s="214"/>
      <c r="F78" s="215"/>
      <c r="G78" s="18"/>
      <c r="H78" s="18"/>
      <c r="I78" s="18"/>
      <c r="J78" s="18"/>
      <c r="K78" s="18"/>
      <c r="L78" s="18"/>
      <c r="M78" s="18"/>
      <c r="N78" s="18"/>
    </row>
    <row r="79" spans="1:6" ht="4.5" customHeight="1">
      <c r="A79" s="10"/>
      <c r="B79" s="11"/>
      <c r="C79" s="12"/>
      <c r="D79" s="209"/>
      <c r="E79" s="209"/>
      <c r="F79" s="13"/>
    </row>
    <row r="80" spans="1:14" ht="12.75">
      <c r="A80" s="10"/>
      <c r="B80" s="11"/>
      <c r="C80" s="12"/>
      <c r="D80" s="226" t="s">
        <v>319</v>
      </c>
      <c r="E80" s="226"/>
      <c r="F80" s="226"/>
      <c r="G80" s="226"/>
      <c r="H80" s="226" t="s">
        <v>320</v>
      </c>
      <c r="I80" s="226"/>
      <c r="J80" s="226"/>
      <c r="K80" s="226"/>
      <c r="L80" s="226"/>
      <c r="M80" s="225" t="s">
        <v>321</v>
      </c>
      <c r="N80" s="225"/>
    </row>
    <row r="81" spans="1:12" ht="12.75">
      <c r="A81" s="10"/>
      <c r="B81" s="11"/>
      <c r="C81" s="12"/>
      <c r="D81" s="226"/>
      <c r="E81" s="226"/>
      <c r="F81" s="226"/>
      <c r="G81" s="226"/>
      <c r="H81" s="226"/>
      <c r="I81" s="226"/>
      <c r="J81" s="226"/>
      <c r="K81" s="226"/>
      <c r="L81" s="226"/>
    </row>
    <row r="82" spans="1:14" ht="4.5" customHeight="1">
      <c r="A82" s="10"/>
      <c r="B82" s="11"/>
      <c r="C82" s="213"/>
      <c r="D82" s="214"/>
      <c r="E82" s="214"/>
      <c r="F82" s="215"/>
      <c r="G82" s="18"/>
      <c r="H82" s="18"/>
      <c r="I82" s="18"/>
      <c r="J82" s="18"/>
      <c r="K82" s="18"/>
      <c r="L82" s="18"/>
      <c r="M82" s="18"/>
      <c r="N82" s="18"/>
    </row>
    <row r="83" spans="1:6" ht="4.5" customHeight="1">
      <c r="A83" s="10"/>
      <c r="B83" s="11"/>
      <c r="C83" s="12"/>
      <c r="D83" s="209"/>
      <c r="E83" s="209"/>
      <c r="F83" s="13"/>
    </row>
    <row r="84" spans="1:14" ht="12.75">
      <c r="A84" s="10"/>
      <c r="B84" s="11"/>
      <c r="C84" s="12"/>
      <c r="D84" s="226" t="s">
        <v>135</v>
      </c>
      <c r="E84" s="226"/>
      <c r="F84" s="226"/>
      <c r="G84" s="226"/>
      <c r="H84" s="226" t="s">
        <v>136</v>
      </c>
      <c r="I84" s="226"/>
      <c r="J84" s="226"/>
      <c r="K84" s="226"/>
      <c r="L84" s="226"/>
      <c r="M84" s="225" t="s">
        <v>137</v>
      </c>
      <c r="N84" s="225"/>
    </row>
    <row r="85" spans="1:14" ht="4.5" customHeight="1">
      <c r="A85" s="10"/>
      <c r="B85" s="11"/>
      <c r="C85" s="213"/>
      <c r="D85" s="214"/>
      <c r="E85" s="214"/>
      <c r="F85" s="215"/>
      <c r="G85" s="18"/>
      <c r="H85" s="18"/>
      <c r="I85" s="18"/>
      <c r="J85" s="18"/>
      <c r="K85" s="18"/>
      <c r="L85" s="18"/>
      <c r="M85" s="18"/>
      <c r="N85" s="18"/>
    </row>
    <row r="86" spans="1:6" ht="4.5" customHeight="1">
      <c r="A86" s="10"/>
      <c r="B86" s="11"/>
      <c r="C86" s="12"/>
      <c r="D86" s="209"/>
      <c r="E86" s="209"/>
      <c r="F86" s="13"/>
    </row>
    <row r="87" spans="1:14" ht="12.75">
      <c r="A87" s="10"/>
      <c r="B87" s="11"/>
      <c r="C87" s="12"/>
      <c r="D87" s="226" t="s">
        <v>142</v>
      </c>
      <c r="E87" s="226"/>
      <c r="F87" s="226"/>
      <c r="G87" s="226"/>
      <c r="H87" s="226" t="s">
        <v>143</v>
      </c>
      <c r="I87" s="226"/>
      <c r="J87" s="226"/>
      <c r="K87" s="226"/>
      <c r="L87" s="226"/>
      <c r="M87" s="225" t="s">
        <v>144</v>
      </c>
      <c r="N87" s="225"/>
    </row>
    <row r="88" spans="1:14" ht="4.5" customHeight="1">
      <c r="A88" s="10"/>
      <c r="B88" s="11"/>
      <c r="C88" s="210"/>
      <c r="D88" s="211"/>
      <c r="E88" s="211"/>
      <c r="F88" s="212"/>
      <c r="G88" s="16"/>
      <c r="H88" s="16"/>
      <c r="I88" s="16"/>
      <c r="J88" s="16"/>
      <c r="K88" s="16"/>
      <c r="L88" s="16"/>
      <c r="M88" s="16"/>
      <c r="N88" s="16"/>
    </row>
    <row r="89" spans="1:6" ht="4.5" customHeight="1">
      <c r="A89" s="10"/>
      <c r="B89" s="11"/>
      <c r="C89" s="12"/>
      <c r="D89" s="209"/>
      <c r="E89" s="209"/>
      <c r="F89" s="13"/>
    </row>
    <row r="90" spans="1:14" ht="12.75">
      <c r="A90" s="10"/>
      <c r="B90" s="11"/>
      <c r="C90" s="12"/>
      <c r="D90" s="226" t="s">
        <v>145</v>
      </c>
      <c r="E90" s="226"/>
      <c r="F90" s="226"/>
      <c r="G90" s="226"/>
      <c r="H90" s="226" t="s">
        <v>322</v>
      </c>
      <c r="I90" s="226"/>
      <c r="J90" s="226"/>
      <c r="K90" s="226"/>
      <c r="L90" s="226"/>
      <c r="M90" s="225" t="s">
        <v>146</v>
      </c>
      <c r="N90" s="225"/>
    </row>
    <row r="91" spans="1:12" ht="12.75">
      <c r="A91" s="10"/>
      <c r="B91" s="11"/>
      <c r="C91" s="12"/>
      <c r="D91" s="226"/>
      <c r="E91" s="226"/>
      <c r="F91" s="226"/>
      <c r="G91" s="226"/>
      <c r="H91" s="226"/>
      <c r="I91" s="226"/>
      <c r="J91" s="226"/>
      <c r="K91" s="226"/>
      <c r="L91" s="226"/>
    </row>
    <row r="92" spans="1:6" ht="4.5" customHeight="1">
      <c r="A92" s="10"/>
      <c r="B92" s="11"/>
      <c r="C92" s="12"/>
      <c r="D92" s="209"/>
      <c r="E92" s="209"/>
      <c r="F92" s="13"/>
    </row>
    <row r="93" spans="1:14" ht="12.75">
      <c r="A93" s="10"/>
      <c r="B93" s="11"/>
      <c r="C93" s="12"/>
      <c r="D93" s="226" t="s">
        <v>147</v>
      </c>
      <c r="E93" s="226"/>
      <c r="F93" s="226"/>
      <c r="G93" s="226"/>
      <c r="H93" s="226" t="s">
        <v>323</v>
      </c>
      <c r="I93" s="226"/>
      <c r="J93" s="226"/>
      <c r="K93" s="226"/>
      <c r="L93" s="226"/>
      <c r="M93" s="225" t="s">
        <v>148</v>
      </c>
      <c r="N93" s="225"/>
    </row>
    <row r="94" spans="1:12" ht="12.75">
      <c r="A94" s="10"/>
      <c r="B94" s="11"/>
      <c r="C94" s="12"/>
      <c r="D94" s="226"/>
      <c r="E94" s="226"/>
      <c r="F94" s="226"/>
      <c r="G94" s="226"/>
      <c r="H94" s="226"/>
      <c r="I94" s="226"/>
      <c r="J94" s="226"/>
      <c r="K94" s="226"/>
      <c r="L94" s="226"/>
    </row>
    <row r="95" spans="1:14" ht="4.5" customHeight="1">
      <c r="A95" s="10"/>
      <c r="B95" s="11"/>
      <c r="C95" s="213"/>
      <c r="D95" s="214"/>
      <c r="E95" s="214"/>
      <c r="F95" s="215"/>
      <c r="G95" s="18"/>
      <c r="H95" s="18"/>
      <c r="I95" s="18"/>
      <c r="J95" s="18"/>
      <c r="K95" s="18"/>
      <c r="L95" s="18"/>
      <c r="M95" s="18"/>
      <c r="N95" s="18"/>
    </row>
    <row r="96" spans="1:6" ht="4.5" customHeight="1">
      <c r="A96" s="10"/>
      <c r="B96" s="11"/>
      <c r="C96" s="12"/>
      <c r="D96" s="209"/>
      <c r="E96" s="209"/>
      <c r="F96" s="13"/>
    </row>
    <row r="97" spans="1:14" ht="12.75">
      <c r="A97" s="10"/>
      <c r="B97" s="11"/>
      <c r="C97" s="12"/>
      <c r="D97" s="226" t="s">
        <v>590</v>
      </c>
      <c r="E97" s="226"/>
      <c r="F97" s="226"/>
      <c r="G97" s="226"/>
      <c r="H97" s="226" t="s">
        <v>591</v>
      </c>
      <c r="I97" s="226"/>
      <c r="J97" s="226"/>
      <c r="K97" s="226"/>
      <c r="L97" s="226"/>
      <c r="M97" s="225" t="s">
        <v>592</v>
      </c>
      <c r="N97" s="225"/>
    </row>
    <row r="98" spans="1:12" ht="12.75">
      <c r="A98" s="10"/>
      <c r="B98" s="11"/>
      <c r="C98" s="12"/>
      <c r="D98" s="226"/>
      <c r="E98" s="226"/>
      <c r="F98" s="226"/>
      <c r="G98" s="226"/>
      <c r="H98" s="226"/>
      <c r="I98" s="226"/>
      <c r="J98" s="226"/>
      <c r="K98" s="226"/>
      <c r="L98" s="226"/>
    </row>
    <row r="99" spans="1:14" ht="4.5" customHeight="1">
      <c r="A99" s="10"/>
      <c r="B99" s="11"/>
      <c r="C99" s="210"/>
      <c r="D99" s="211"/>
      <c r="E99" s="211"/>
      <c r="F99" s="212"/>
      <c r="G99" s="16"/>
      <c r="H99" s="16"/>
      <c r="I99" s="16"/>
      <c r="J99" s="16"/>
      <c r="K99" s="16"/>
      <c r="L99" s="16"/>
      <c r="M99" s="16"/>
      <c r="N99" s="16"/>
    </row>
    <row r="100" spans="1:6" ht="12.75">
      <c r="A100" s="10"/>
      <c r="B100" s="11"/>
      <c r="C100" s="12"/>
      <c r="D100" s="209"/>
      <c r="E100" s="209"/>
      <c r="F100" s="13"/>
    </row>
    <row r="101" spans="1:6" ht="12.75">
      <c r="A101" s="10"/>
      <c r="B101" s="11"/>
      <c r="C101" s="23" t="s">
        <v>593</v>
      </c>
      <c r="D101" s="209"/>
      <c r="E101" s="209"/>
      <c r="F101" s="13"/>
    </row>
    <row r="102" spans="1:6" ht="12.75">
      <c r="A102" s="10"/>
      <c r="B102" s="11"/>
      <c r="C102" s="33" t="s">
        <v>324</v>
      </c>
      <c r="D102" s="209"/>
      <c r="E102" s="209"/>
      <c r="F102" s="13"/>
    </row>
    <row r="103" spans="1:6" ht="12.75">
      <c r="A103" s="10"/>
      <c r="B103" s="11"/>
      <c r="C103" s="33" t="s">
        <v>594</v>
      </c>
      <c r="D103" s="209"/>
      <c r="E103" s="209"/>
      <c r="F103" s="13"/>
    </row>
    <row r="104" spans="1:6" ht="12.75">
      <c r="A104" s="10"/>
      <c r="B104" s="11"/>
      <c r="C104" s="12"/>
      <c r="D104" s="209"/>
      <c r="E104" s="209"/>
      <c r="F104" s="13"/>
    </row>
    <row r="105" spans="1:6" ht="12.75">
      <c r="A105" s="10"/>
      <c r="B105" s="11"/>
      <c r="C105" s="12"/>
      <c r="D105" s="209"/>
      <c r="E105" s="209"/>
      <c r="F105" s="13"/>
    </row>
    <row r="106" spans="1:6" ht="12.75">
      <c r="A106" s="10"/>
      <c r="B106" s="30" t="s">
        <v>149</v>
      </c>
      <c r="C106" s="12"/>
      <c r="D106" s="209"/>
      <c r="E106" s="209"/>
      <c r="F106" s="13"/>
    </row>
    <row r="107" spans="1:6" ht="12.75">
      <c r="A107" s="10"/>
      <c r="B107" s="11"/>
      <c r="C107" s="12"/>
      <c r="D107" s="209"/>
      <c r="E107" s="209"/>
      <c r="F107" s="13"/>
    </row>
    <row r="108" spans="1:14" ht="12.75">
      <c r="A108" s="10"/>
      <c r="B108" s="11"/>
      <c r="C108" s="210"/>
      <c r="D108" s="32" t="s">
        <v>150</v>
      </c>
      <c r="E108" s="211"/>
      <c r="F108" s="212"/>
      <c r="G108" s="16"/>
      <c r="H108" s="32" t="s">
        <v>151</v>
      </c>
      <c r="I108" s="16"/>
      <c r="J108" s="16"/>
      <c r="K108" s="16"/>
      <c r="L108" s="16"/>
      <c r="M108" s="227" t="s">
        <v>152</v>
      </c>
      <c r="N108" s="227"/>
    </row>
    <row r="109" spans="1:6" ht="4.5" customHeight="1">
      <c r="A109" s="10"/>
      <c r="B109" s="11"/>
      <c r="C109" s="12"/>
      <c r="D109" s="209"/>
      <c r="E109" s="209"/>
      <c r="F109" s="13"/>
    </row>
    <row r="110" spans="1:14" ht="12.75">
      <c r="A110" s="10"/>
      <c r="B110" s="11"/>
      <c r="C110" s="12"/>
      <c r="D110" s="252" t="s">
        <v>153</v>
      </c>
      <c r="E110" s="252"/>
      <c r="F110" s="252"/>
      <c r="G110" s="252"/>
      <c r="H110" s="252" t="s">
        <v>154</v>
      </c>
      <c r="I110" s="252"/>
      <c r="J110" s="252"/>
      <c r="K110" s="252"/>
      <c r="L110" s="252"/>
      <c r="M110" s="224" t="s">
        <v>155</v>
      </c>
      <c r="N110" s="224"/>
    </row>
    <row r="111" spans="1:6" ht="4.5" customHeight="1">
      <c r="A111" s="10"/>
      <c r="B111" s="11"/>
      <c r="C111" s="12"/>
      <c r="D111" s="209"/>
      <c r="E111" s="209"/>
      <c r="F111" s="13"/>
    </row>
    <row r="112" spans="1:14" ht="12.75">
      <c r="A112" s="10"/>
      <c r="B112" s="11"/>
      <c r="C112" s="12"/>
      <c r="D112" s="252" t="s">
        <v>156</v>
      </c>
      <c r="E112" s="252"/>
      <c r="F112" s="252"/>
      <c r="G112" s="252"/>
      <c r="H112" s="252" t="s">
        <v>157</v>
      </c>
      <c r="I112" s="252"/>
      <c r="J112" s="252"/>
      <c r="K112" s="252"/>
      <c r="L112" s="252"/>
      <c r="M112" s="224" t="s">
        <v>158</v>
      </c>
      <c r="N112" s="224"/>
    </row>
    <row r="113" spans="1:6" ht="4.5" customHeight="1">
      <c r="A113" s="10"/>
      <c r="B113" s="11"/>
      <c r="C113" s="12"/>
      <c r="D113" s="209"/>
      <c r="E113" s="209"/>
      <c r="F113" s="13"/>
    </row>
    <row r="114" spans="1:14" ht="12.75">
      <c r="A114" s="10"/>
      <c r="B114" s="11"/>
      <c r="C114" s="12"/>
      <c r="D114" s="252" t="s">
        <v>159</v>
      </c>
      <c r="E114" s="252"/>
      <c r="F114" s="252"/>
      <c r="G114" s="252"/>
      <c r="H114" s="252" t="s">
        <v>160</v>
      </c>
      <c r="I114" s="252"/>
      <c r="J114" s="252"/>
      <c r="K114" s="252"/>
      <c r="L114" s="252"/>
      <c r="M114" s="224" t="s">
        <v>161</v>
      </c>
      <c r="N114" s="224"/>
    </row>
    <row r="115" spans="1:6" ht="4.5" customHeight="1">
      <c r="A115" s="10"/>
      <c r="B115" s="11"/>
      <c r="C115" s="12"/>
      <c r="D115" s="209"/>
      <c r="E115" s="209"/>
      <c r="F115" s="13"/>
    </row>
    <row r="116" spans="1:14" ht="12.75">
      <c r="A116" s="10"/>
      <c r="B116" s="11"/>
      <c r="C116" s="12"/>
      <c r="D116" s="252" t="s">
        <v>162</v>
      </c>
      <c r="E116" s="252"/>
      <c r="F116" s="252"/>
      <c r="G116" s="252"/>
      <c r="H116" s="252" t="s">
        <v>163</v>
      </c>
      <c r="I116" s="252"/>
      <c r="J116" s="252"/>
      <c r="K116" s="252"/>
      <c r="L116" s="252"/>
      <c r="M116" s="224" t="s">
        <v>164</v>
      </c>
      <c r="N116" s="224"/>
    </row>
    <row r="117" spans="1:6" ht="4.5" customHeight="1">
      <c r="A117" s="10"/>
      <c r="B117" s="11"/>
      <c r="C117" s="12"/>
      <c r="D117" s="209"/>
      <c r="E117" s="209"/>
      <c r="F117" s="13"/>
    </row>
    <row r="118" spans="1:14" ht="12.75">
      <c r="A118" s="10"/>
      <c r="B118" s="11"/>
      <c r="C118" s="12"/>
      <c r="D118" s="252" t="s">
        <v>165</v>
      </c>
      <c r="E118" s="252"/>
      <c r="F118" s="252"/>
      <c r="G118" s="252"/>
      <c r="H118" s="252" t="s">
        <v>166</v>
      </c>
      <c r="I118" s="252"/>
      <c r="J118" s="252"/>
      <c r="K118" s="252"/>
      <c r="L118" s="252"/>
      <c r="M118" s="224" t="s">
        <v>167</v>
      </c>
      <c r="N118" s="224"/>
    </row>
    <row r="119" spans="1:6" ht="4.5" customHeight="1">
      <c r="A119" s="10"/>
      <c r="B119" s="11"/>
      <c r="C119" s="12"/>
      <c r="D119" s="209"/>
      <c r="E119" s="209"/>
      <c r="F119" s="13"/>
    </row>
    <row r="120" spans="1:14" ht="12.75">
      <c r="A120" s="10"/>
      <c r="B120" s="11"/>
      <c r="C120" s="12"/>
      <c r="D120" s="252" t="s">
        <v>319</v>
      </c>
      <c r="E120" s="252"/>
      <c r="F120" s="252"/>
      <c r="G120" s="252"/>
      <c r="H120" s="252" t="s">
        <v>168</v>
      </c>
      <c r="I120" s="252"/>
      <c r="J120" s="252"/>
      <c r="K120" s="252"/>
      <c r="L120" s="252"/>
      <c r="M120" s="224" t="s">
        <v>169</v>
      </c>
      <c r="N120" s="224"/>
    </row>
    <row r="121" spans="1:6" ht="4.5" customHeight="1">
      <c r="A121" s="10"/>
      <c r="B121" s="11"/>
      <c r="C121" s="12"/>
      <c r="D121" s="209"/>
      <c r="E121" s="209"/>
      <c r="F121" s="13"/>
    </row>
    <row r="122" spans="1:14" ht="12.75">
      <c r="A122" s="10"/>
      <c r="B122" s="11"/>
      <c r="C122" s="12"/>
      <c r="D122" s="252" t="s">
        <v>110</v>
      </c>
      <c r="E122" s="252"/>
      <c r="F122" s="252"/>
      <c r="G122" s="252"/>
      <c r="H122" s="252" t="s">
        <v>170</v>
      </c>
      <c r="I122" s="252"/>
      <c r="J122" s="252"/>
      <c r="K122" s="252"/>
      <c r="L122" s="252"/>
      <c r="M122" s="224" t="s">
        <v>171</v>
      </c>
      <c r="N122" s="224"/>
    </row>
    <row r="123" spans="1:6" ht="4.5" customHeight="1">
      <c r="A123" s="10"/>
      <c r="B123" s="11"/>
      <c r="C123" s="12"/>
      <c r="D123" s="209"/>
      <c r="E123" s="209"/>
      <c r="F123" s="13"/>
    </row>
    <row r="124" spans="1:14" ht="12.75">
      <c r="A124" s="10"/>
      <c r="B124" s="11"/>
      <c r="C124" s="12"/>
      <c r="D124" s="252" t="s">
        <v>325</v>
      </c>
      <c r="E124" s="252"/>
      <c r="F124" s="252"/>
      <c r="G124" s="252"/>
      <c r="H124" s="252" t="s">
        <v>172</v>
      </c>
      <c r="I124" s="252"/>
      <c r="J124" s="252"/>
      <c r="K124" s="252"/>
      <c r="L124" s="252"/>
      <c r="M124" s="224" t="s">
        <v>173</v>
      </c>
      <c r="N124" s="224"/>
    </row>
    <row r="125" spans="1:6" ht="4.5" customHeight="1">
      <c r="A125" s="10"/>
      <c r="B125" s="11"/>
      <c r="C125" s="12"/>
      <c r="D125" s="209"/>
      <c r="E125" s="209"/>
      <c r="F125" s="13"/>
    </row>
    <row r="126" spans="1:14" ht="12.75">
      <c r="A126" s="10"/>
      <c r="B126" s="11"/>
      <c r="C126" s="12"/>
      <c r="D126" s="252" t="s">
        <v>326</v>
      </c>
      <c r="E126" s="252"/>
      <c r="F126" s="252"/>
      <c r="G126" s="252"/>
      <c r="H126" s="252" t="s">
        <v>174</v>
      </c>
      <c r="I126" s="252"/>
      <c r="J126" s="252"/>
      <c r="K126" s="252"/>
      <c r="L126" s="252"/>
      <c r="M126" s="224" t="s">
        <v>175</v>
      </c>
      <c r="N126" s="224"/>
    </row>
    <row r="127" spans="1:6" ht="4.5" customHeight="1">
      <c r="A127" s="10"/>
      <c r="B127" s="11"/>
      <c r="C127" s="12"/>
      <c r="D127" s="209"/>
      <c r="E127" s="209"/>
      <c r="F127" s="13"/>
    </row>
    <row r="128" spans="1:14" ht="12.75">
      <c r="A128" s="10"/>
      <c r="B128" s="11"/>
      <c r="C128" s="12"/>
      <c r="D128" s="252" t="s">
        <v>327</v>
      </c>
      <c r="E128" s="252"/>
      <c r="F128" s="252"/>
      <c r="G128" s="252"/>
      <c r="H128" s="252" t="s">
        <v>176</v>
      </c>
      <c r="I128" s="252"/>
      <c r="J128" s="252"/>
      <c r="K128" s="252"/>
      <c r="L128" s="252"/>
      <c r="M128" s="224" t="s">
        <v>177</v>
      </c>
      <c r="N128" s="224"/>
    </row>
    <row r="129" spans="1:6" ht="4.5" customHeight="1">
      <c r="A129" s="10"/>
      <c r="B129" s="11"/>
      <c r="C129" s="12"/>
      <c r="D129" s="209"/>
      <c r="E129" s="209"/>
      <c r="F129" s="13"/>
    </row>
    <row r="130" spans="1:14" ht="12.75">
      <c r="A130" s="10"/>
      <c r="B130" s="11"/>
      <c r="C130" s="12"/>
      <c r="D130" s="252" t="s">
        <v>328</v>
      </c>
      <c r="E130" s="252"/>
      <c r="F130" s="252"/>
      <c r="G130" s="252"/>
      <c r="H130" s="252" t="s">
        <v>178</v>
      </c>
      <c r="I130" s="252"/>
      <c r="J130" s="252"/>
      <c r="K130" s="252"/>
      <c r="L130" s="252"/>
      <c r="M130" s="224" t="s">
        <v>179</v>
      </c>
      <c r="N130" s="224"/>
    </row>
    <row r="131" spans="1:6" ht="4.5" customHeight="1">
      <c r="A131" s="10"/>
      <c r="B131" s="11"/>
      <c r="C131" s="12"/>
      <c r="D131" s="209"/>
      <c r="E131" s="209"/>
      <c r="F131" s="13"/>
    </row>
    <row r="132" spans="1:14" ht="12.75">
      <c r="A132" s="10"/>
      <c r="B132" s="11"/>
      <c r="C132" s="12"/>
      <c r="D132" s="252" t="s">
        <v>329</v>
      </c>
      <c r="E132" s="252"/>
      <c r="F132" s="252"/>
      <c r="G132" s="252"/>
      <c r="H132" s="252" t="s">
        <v>180</v>
      </c>
      <c r="I132" s="252"/>
      <c r="J132" s="252"/>
      <c r="K132" s="252"/>
      <c r="L132" s="252"/>
      <c r="M132" s="224" t="s">
        <v>181</v>
      </c>
      <c r="N132" s="224"/>
    </row>
    <row r="133" spans="1:6" ht="4.5" customHeight="1">
      <c r="A133" s="10"/>
      <c r="B133" s="11"/>
      <c r="C133" s="12"/>
      <c r="D133" s="209"/>
      <c r="E133" s="209"/>
      <c r="F133" s="13"/>
    </row>
    <row r="134" spans="1:14" ht="12.75">
      <c r="A134" s="10"/>
      <c r="B134" s="11"/>
      <c r="C134" s="12"/>
      <c r="D134" s="252" t="s">
        <v>330</v>
      </c>
      <c r="E134" s="252"/>
      <c r="F134" s="252"/>
      <c r="G134" s="252"/>
      <c r="H134" s="252" t="s">
        <v>182</v>
      </c>
      <c r="I134" s="252"/>
      <c r="J134" s="252"/>
      <c r="K134" s="252"/>
      <c r="L134" s="252"/>
      <c r="M134" s="224" t="s">
        <v>183</v>
      </c>
      <c r="N134" s="224"/>
    </row>
    <row r="135" spans="1:6" ht="4.5" customHeight="1">
      <c r="A135" s="10"/>
      <c r="B135" s="11"/>
      <c r="C135" s="12"/>
      <c r="D135" s="209"/>
      <c r="E135" s="209"/>
      <c r="F135" s="13"/>
    </row>
    <row r="136" spans="1:14" ht="12.75">
      <c r="A136" s="10"/>
      <c r="B136" s="11"/>
      <c r="C136" s="12"/>
      <c r="D136" s="252" t="s">
        <v>184</v>
      </c>
      <c r="E136" s="252"/>
      <c r="F136" s="252"/>
      <c r="G136" s="252"/>
      <c r="H136" s="252" t="s">
        <v>185</v>
      </c>
      <c r="I136" s="252"/>
      <c r="J136" s="252"/>
      <c r="K136" s="252"/>
      <c r="L136" s="252"/>
      <c r="M136" s="224" t="s">
        <v>186</v>
      </c>
      <c r="N136" s="224"/>
    </row>
    <row r="137" spans="1:14" ht="4.5" customHeight="1">
      <c r="A137" s="10"/>
      <c r="B137" s="11"/>
      <c r="C137" s="210"/>
      <c r="D137" s="211"/>
      <c r="E137" s="211"/>
      <c r="F137" s="212"/>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